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50" windowHeight="7770" activeTab="2"/>
  </bookViews>
  <sheets>
    <sheet name="Таблица адресов" sheetId="1" r:id="rId1"/>
    <sheet name="Схема" sheetId="2" r:id="rId2"/>
    <sheet name="Расчеты" sheetId="3" r:id="rId3"/>
  </sheets>
  <definedNames/>
  <calcPr fullCalcOnLoad="1"/>
</workbook>
</file>

<file path=xl/sharedStrings.xml><?xml version="1.0" encoding="utf-8"?>
<sst xmlns="http://schemas.openxmlformats.org/spreadsheetml/2006/main" count="324" uniqueCount="203">
  <si>
    <t>Исходные данные</t>
  </si>
  <si>
    <t>Кривошип</t>
  </si>
  <si>
    <t>(Fi)MAX=</t>
  </si>
  <si>
    <t>Del(Fi)=</t>
  </si>
  <si>
    <t>(Fi)t=</t>
  </si>
  <si>
    <t>(Fi)tt=</t>
  </si>
  <si>
    <t>Del(t)=</t>
  </si>
  <si>
    <t>Проверка:</t>
  </si>
  <si>
    <t>(Fi)0гр=</t>
  </si>
  <si>
    <t>n=</t>
  </si>
  <si>
    <t>Del(Fi)гр=</t>
  </si>
  <si>
    <t>(Fi)t0=</t>
  </si>
  <si>
    <t>(Fi)tt0=</t>
  </si>
  <si>
    <t>del(Fi)tt=</t>
  </si>
  <si>
    <t>Fi(раcч)=</t>
  </si>
  <si>
    <t>Fi(гр)=</t>
  </si>
  <si>
    <t>Размеры</t>
  </si>
  <si>
    <t>Точка</t>
  </si>
  <si>
    <t>Альфа</t>
  </si>
  <si>
    <t>Бета</t>
  </si>
  <si>
    <t>x=</t>
  </si>
  <si>
    <t>y=</t>
  </si>
  <si>
    <t>xt=</t>
  </si>
  <si>
    <t>yt=</t>
  </si>
  <si>
    <t>xtt=</t>
  </si>
  <si>
    <t>ytt=</t>
  </si>
  <si>
    <t>Проверка</t>
  </si>
  <si>
    <t>a=</t>
  </si>
  <si>
    <t>Fi(рад)=</t>
  </si>
  <si>
    <t>Psi(рад)=</t>
  </si>
  <si>
    <t>Psi(гр)=</t>
  </si>
  <si>
    <t>(Psi)t=</t>
  </si>
  <si>
    <t>(Psi)tt=</t>
  </si>
  <si>
    <t>del(Psi)=</t>
  </si>
  <si>
    <t>D</t>
  </si>
  <si>
    <t>CD=L3=</t>
  </si>
  <si>
    <t>Отклонение</t>
  </si>
  <si>
    <t>Mu(рад)=</t>
  </si>
  <si>
    <t>Mu(гр)=</t>
  </si>
  <si>
    <t>(Mu)t=</t>
  </si>
  <si>
    <t>(Mu)tt=</t>
  </si>
  <si>
    <t>E</t>
  </si>
  <si>
    <t>Модуль у=</t>
  </si>
  <si>
    <t>(Mu)t пров=</t>
  </si>
  <si>
    <t>(Mu)tt пров=</t>
  </si>
  <si>
    <t>del(Mu)=</t>
  </si>
  <si>
    <t>К</t>
  </si>
  <si>
    <t>DK провер=</t>
  </si>
  <si>
    <r>
      <t xml:space="preserve">Шатун точка </t>
    </r>
    <r>
      <rPr>
        <b/>
        <sz val="12"/>
        <color indexed="8"/>
        <rFont val="Times New Roman"/>
        <family val="1"/>
      </rPr>
      <t>D</t>
    </r>
  </si>
  <si>
    <r>
      <t xml:space="preserve">Шатун </t>
    </r>
    <r>
      <rPr>
        <b/>
        <sz val="12"/>
        <color indexed="8"/>
        <rFont val="Times New Roman"/>
        <family val="1"/>
      </rPr>
      <t>DE</t>
    </r>
  </si>
  <si>
    <r>
      <t xml:space="preserve">Точка </t>
    </r>
    <r>
      <rPr>
        <b/>
        <sz val="12"/>
        <color indexed="8"/>
        <rFont val="Times New Roman"/>
        <family val="1"/>
      </rPr>
      <t>К</t>
    </r>
    <r>
      <rPr>
        <sz val="12"/>
        <color theme="1"/>
        <rFont val="Times New Roman"/>
        <family val="2"/>
      </rPr>
      <t xml:space="preserve"> на шатуне </t>
    </r>
    <r>
      <rPr>
        <b/>
        <sz val="12"/>
        <color indexed="8"/>
        <rFont val="Times New Roman"/>
        <family val="1"/>
      </rPr>
      <t>DE</t>
    </r>
  </si>
  <si>
    <t>O</t>
  </si>
  <si>
    <t>A</t>
  </si>
  <si>
    <t>OA=L1=</t>
  </si>
  <si>
    <t>AD=L2=</t>
  </si>
  <si>
    <t>С1</t>
  </si>
  <si>
    <t>С2</t>
  </si>
  <si>
    <t>С3</t>
  </si>
  <si>
    <t>С4</t>
  </si>
  <si>
    <t>С5</t>
  </si>
  <si>
    <t>m</t>
  </si>
  <si>
    <t>mg</t>
  </si>
  <si>
    <t>J</t>
  </si>
  <si>
    <t>ЭНЕРГЕТИЧЕСКИЙ АНАЛИЗ</t>
  </si>
  <si>
    <t>КИНЕМАТИЧЕСКИЙ АНАЛИЗ</t>
  </si>
  <si>
    <t>g=</t>
  </si>
  <si>
    <t>Wk=</t>
  </si>
  <si>
    <t>Ek=</t>
  </si>
  <si>
    <t>ΔEp=</t>
  </si>
  <si>
    <t>Fx=</t>
  </si>
  <si>
    <t>Fy=</t>
  </si>
  <si>
    <t>Mc=</t>
  </si>
  <si>
    <t>Wp=</t>
  </si>
  <si>
    <t>T</t>
  </si>
  <si>
    <t>Fi</t>
  </si>
  <si>
    <t>Psi</t>
  </si>
  <si>
    <t>Mu</t>
  </si>
  <si>
    <t>K</t>
  </si>
  <si>
    <t>E2</t>
  </si>
  <si>
    <t>F2</t>
  </si>
  <si>
    <t>E3</t>
  </si>
  <si>
    <t>E4</t>
  </si>
  <si>
    <t>E6</t>
  </si>
  <si>
    <t>F6</t>
  </si>
  <si>
    <t>F4</t>
  </si>
  <si>
    <t>F3</t>
  </si>
  <si>
    <t>Оси шарниров</t>
  </si>
  <si>
    <t>Центры масс</t>
  </si>
  <si>
    <t>C1</t>
  </si>
  <si>
    <t>C2</t>
  </si>
  <si>
    <t>C3</t>
  </si>
  <si>
    <t>C4</t>
  </si>
  <si>
    <t>C5</t>
  </si>
  <si>
    <t>J2</t>
  </si>
  <si>
    <t>K2</t>
  </si>
  <si>
    <t>L2</t>
  </si>
  <si>
    <t>H2</t>
  </si>
  <si>
    <t>I2</t>
  </si>
  <si>
    <t>H3</t>
  </si>
  <si>
    <t>I3</t>
  </si>
  <si>
    <t>H4</t>
  </si>
  <si>
    <t>H5</t>
  </si>
  <si>
    <t>I5</t>
  </si>
  <si>
    <t>H6</t>
  </si>
  <si>
    <t>I6</t>
  </si>
  <si>
    <t>H7</t>
  </si>
  <si>
    <t>I7</t>
  </si>
  <si>
    <t>L3</t>
  </si>
  <si>
    <t>J3</t>
  </si>
  <si>
    <t>K3</t>
  </si>
  <si>
    <t>J4</t>
  </si>
  <si>
    <t>K4</t>
  </si>
  <si>
    <t>L4</t>
  </si>
  <si>
    <t>J5</t>
  </si>
  <si>
    <t>K5</t>
  </si>
  <si>
    <t>L5</t>
  </si>
  <si>
    <t>J6</t>
  </si>
  <si>
    <t>K6</t>
  </si>
  <si>
    <t>L6</t>
  </si>
  <si>
    <t>u=</t>
  </si>
  <si>
    <t>ut=</t>
  </si>
  <si>
    <t>utt=</t>
  </si>
  <si>
    <t>del u=</t>
  </si>
  <si>
    <t>m=</t>
  </si>
  <si>
    <t>J=</t>
  </si>
  <si>
    <t>mg=</t>
  </si>
  <si>
    <t>Ai=</t>
  </si>
  <si>
    <t>Bi=</t>
  </si>
  <si>
    <t>Ci=</t>
  </si>
  <si>
    <t>Tx=</t>
  </si>
  <si>
    <t>Ty=</t>
  </si>
  <si>
    <t>M(T)=</t>
  </si>
  <si>
    <t>W(T)=</t>
  </si>
  <si>
    <r>
      <t xml:space="preserve">Точка </t>
    </r>
    <r>
      <rPr>
        <b/>
        <sz val="12"/>
        <color indexed="8"/>
        <rFont val="Times New Roman"/>
        <family val="1"/>
      </rPr>
      <t>С1</t>
    </r>
  </si>
  <si>
    <r>
      <t xml:space="preserve">Точка </t>
    </r>
    <r>
      <rPr>
        <b/>
        <sz val="12"/>
        <color indexed="8"/>
        <rFont val="Times New Roman"/>
        <family val="1"/>
      </rPr>
      <t>С2</t>
    </r>
  </si>
  <si>
    <r>
      <t xml:space="preserve">Точка </t>
    </r>
    <r>
      <rPr>
        <b/>
        <sz val="12"/>
        <color indexed="8"/>
        <rFont val="Times New Roman"/>
        <family val="1"/>
      </rPr>
      <t>С3</t>
    </r>
  </si>
  <si>
    <r>
      <t xml:space="preserve">Точка </t>
    </r>
    <r>
      <rPr>
        <b/>
        <sz val="12"/>
        <color indexed="8"/>
        <rFont val="Times New Roman"/>
        <family val="1"/>
      </rPr>
      <t>С4</t>
    </r>
  </si>
  <si>
    <r>
      <t xml:space="preserve">Точка </t>
    </r>
    <r>
      <rPr>
        <b/>
        <sz val="12"/>
        <color indexed="8"/>
        <rFont val="Times New Roman"/>
        <family val="1"/>
      </rPr>
      <t>С5</t>
    </r>
  </si>
  <si>
    <r>
      <t xml:space="preserve">Точка съёма мощности </t>
    </r>
    <r>
      <rPr>
        <b/>
        <sz val="12"/>
        <color indexed="8"/>
        <rFont val="Times New Roman"/>
        <family val="1"/>
      </rPr>
      <t>Т</t>
    </r>
  </si>
  <si>
    <r>
      <t xml:space="preserve">Шатун </t>
    </r>
    <r>
      <rPr>
        <b/>
        <sz val="12"/>
        <color indexed="8"/>
        <rFont val="Times New Roman"/>
        <family val="1"/>
      </rPr>
      <t>A</t>
    </r>
    <r>
      <rPr>
        <b/>
        <sz val="12"/>
        <color indexed="8"/>
        <rFont val="Times New Roman"/>
        <family val="1"/>
      </rPr>
      <t>D</t>
    </r>
  </si>
  <si>
    <r>
      <t xml:space="preserve">Кривошип точка </t>
    </r>
    <r>
      <rPr>
        <b/>
        <sz val="12"/>
        <color indexed="8"/>
        <rFont val="Times New Roman"/>
        <family val="1"/>
      </rPr>
      <t>A</t>
    </r>
  </si>
  <si>
    <r>
      <t xml:space="preserve">Кривошип </t>
    </r>
    <r>
      <rPr>
        <b/>
        <sz val="12"/>
        <color indexed="8"/>
        <rFont val="Times New Roman"/>
        <family val="1"/>
      </rPr>
      <t>OA</t>
    </r>
  </si>
  <si>
    <t xml:space="preserve">СИЛОВОЙ РАСЧЁТ </t>
  </si>
  <si>
    <t>Технологические нагрузки</t>
  </si>
  <si>
    <r>
      <t xml:space="preserve">Звено </t>
    </r>
    <r>
      <rPr>
        <b/>
        <sz val="12"/>
        <color indexed="8"/>
        <rFont val="Times New Roman"/>
        <family val="1"/>
      </rPr>
      <t>4</t>
    </r>
    <r>
      <rPr>
        <sz val="12"/>
        <color theme="1"/>
        <rFont val="Times New Roman"/>
        <family val="2"/>
      </rPr>
      <t xml:space="preserve"> шарнир </t>
    </r>
    <r>
      <rPr>
        <b/>
        <sz val="12"/>
        <color indexed="8"/>
        <rFont val="Times New Roman"/>
        <family val="1"/>
      </rPr>
      <t>D4</t>
    </r>
    <r>
      <rPr>
        <sz val="12"/>
        <color indexed="8"/>
        <rFont val="Times New Roman"/>
        <family val="1"/>
      </rPr>
      <t xml:space="preserve"> (Шатун)</t>
    </r>
  </si>
  <si>
    <r>
      <t xml:space="preserve">Звено </t>
    </r>
    <r>
      <rPr>
        <b/>
        <sz val="12"/>
        <color indexed="8"/>
        <rFont val="Times New Roman"/>
        <family val="1"/>
      </rPr>
      <t xml:space="preserve">3 </t>
    </r>
    <r>
      <rPr>
        <sz val="12"/>
        <color theme="1"/>
        <rFont val="Times New Roman"/>
        <family val="2"/>
      </rPr>
      <t xml:space="preserve">шарнир </t>
    </r>
    <r>
      <rPr>
        <b/>
        <sz val="12"/>
        <color indexed="8"/>
        <rFont val="Times New Roman"/>
        <family val="1"/>
      </rPr>
      <t>D3</t>
    </r>
    <r>
      <rPr>
        <sz val="12"/>
        <color theme="1"/>
        <rFont val="Times New Roman"/>
        <family val="2"/>
      </rPr>
      <t xml:space="preserve"> (Ползун)</t>
    </r>
  </si>
  <si>
    <t>W(D4)=</t>
  </si>
  <si>
    <t>W(D3)=</t>
  </si>
  <si>
    <t>Qx(D4)=</t>
  </si>
  <si>
    <t>Qy(D4)=</t>
  </si>
  <si>
    <t>M(D4)=</t>
  </si>
  <si>
    <t>Qx(D3)=</t>
  </si>
  <si>
    <t>Qy(D3)=</t>
  </si>
  <si>
    <t>M(D3)=</t>
  </si>
  <si>
    <t>Qx(А2)=</t>
  </si>
  <si>
    <t>M(А2)=</t>
  </si>
  <si>
    <t>Qy(А2)=</t>
  </si>
  <si>
    <t>W(А2)=</t>
  </si>
  <si>
    <t>Qx(О)=</t>
  </si>
  <si>
    <t>Qy(О)=</t>
  </si>
  <si>
    <t>M(О)=</t>
  </si>
  <si>
    <t>Проверка (2)</t>
  </si>
  <si>
    <t>W(О)=</t>
  </si>
  <si>
    <r>
      <t xml:space="preserve">Звено </t>
    </r>
    <r>
      <rPr>
        <b/>
        <sz val="12"/>
        <color indexed="8"/>
        <rFont val="Times New Roman"/>
        <family val="1"/>
      </rPr>
      <t>2</t>
    </r>
    <r>
      <rPr>
        <sz val="12"/>
        <color theme="1"/>
        <rFont val="Times New Roman"/>
        <family val="2"/>
      </rPr>
      <t xml:space="preserve"> шарнир </t>
    </r>
    <r>
      <rPr>
        <b/>
        <sz val="12"/>
        <color indexed="8"/>
        <rFont val="Times New Roman"/>
        <family val="1"/>
      </rPr>
      <t>А</t>
    </r>
    <r>
      <rPr>
        <b/>
        <sz val="12"/>
        <color indexed="8"/>
        <rFont val="Times New Roman"/>
        <family val="1"/>
      </rPr>
      <t>2</t>
    </r>
    <r>
      <rPr>
        <sz val="12"/>
        <color theme="1"/>
        <rFont val="Times New Roman"/>
        <family val="2"/>
      </rPr>
      <t xml:space="preserve"> (Шатун)</t>
    </r>
  </si>
  <si>
    <t>КОРРЕКТИРОВКА  СИЛОВОГО РАСЧЕТА</t>
  </si>
  <si>
    <t>(Rx)A=</t>
  </si>
  <si>
    <t>(Ry)A=</t>
  </si>
  <si>
    <t>(Nx)D=</t>
  </si>
  <si>
    <t>(Ny)D=</t>
  </si>
  <si>
    <t>Полные силы</t>
  </si>
  <si>
    <t>(Px)D=</t>
  </si>
  <si>
    <t>(Py)D=</t>
  </si>
  <si>
    <t>(Sx)A=</t>
  </si>
  <si>
    <t>(Sy)A=</t>
  </si>
  <si>
    <t>М(О)=</t>
  </si>
  <si>
    <t>Минимальные обобщённые силы</t>
  </si>
  <si>
    <t>(Qy)D4=</t>
  </si>
  <si>
    <t>(Qx)D4=</t>
  </si>
  <si>
    <t>(Qx)D3=</t>
  </si>
  <si>
    <t>(Qy)D3=</t>
  </si>
  <si>
    <t>(Qx)A=</t>
  </si>
  <si>
    <t>(Qy)A=</t>
  </si>
  <si>
    <r>
      <t xml:space="preserve">Точка </t>
    </r>
    <r>
      <rPr>
        <b/>
        <sz val="12"/>
        <color indexed="8"/>
        <rFont val="Times New Roman"/>
        <family val="1"/>
      </rPr>
      <t>О</t>
    </r>
  </si>
  <si>
    <r>
      <t xml:space="preserve">Шатун </t>
    </r>
    <r>
      <rPr>
        <b/>
        <sz val="12"/>
        <color indexed="8"/>
        <rFont val="Times New Roman"/>
        <family val="1"/>
      </rPr>
      <t>AD</t>
    </r>
  </si>
  <si>
    <r>
      <t xml:space="preserve">Звено </t>
    </r>
    <r>
      <rPr>
        <b/>
        <sz val="12"/>
        <color indexed="8"/>
        <rFont val="Times New Roman"/>
        <family val="1"/>
      </rPr>
      <t>1</t>
    </r>
    <r>
      <rPr>
        <sz val="12"/>
        <color theme="1"/>
        <rFont val="Times New Roman"/>
        <family val="2"/>
      </rPr>
      <t xml:space="preserve"> шарнир </t>
    </r>
    <r>
      <rPr>
        <b/>
        <sz val="12"/>
        <color indexed="8"/>
        <rFont val="Times New Roman"/>
        <family val="1"/>
      </rPr>
      <t>О</t>
    </r>
    <r>
      <rPr>
        <sz val="12"/>
        <color theme="1"/>
        <rFont val="Times New Roman"/>
        <family val="2"/>
      </rPr>
      <t xml:space="preserve"> (Крипошип)</t>
    </r>
  </si>
  <si>
    <t>ЦЕНТРОБЕЖНЫЕ СИЛЫ</t>
  </si>
  <si>
    <t>х=</t>
  </si>
  <si>
    <t>у=</t>
  </si>
  <si>
    <t>Ек=</t>
  </si>
  <si>
    <t>М=</t>
  </si>
  <si>
    <t>Q=</t>
  </si>
  <si>
    <t>Шатун AD</t>
  </si>
  <si>
    <r>
      <t>i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=</t>
    </r>
  </si>
  <si>
    <r>
      <t>p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=</t>
    </r>
  </si>
  <si>
    <t>pt=</t>
  </si>
  <si>
    <t>Момент инерции маховика</t>
  </si>
  <si>
    <t>Qx(А1)=</t>
  </si>
  <si>
    <t>Qy(А1)=</t>
  </si>
  <si>
    <t>M(А1)=</t>
  </si>
  <si>
    <t>W(А1)=</t>
  </si>
  <si>
    <r>
      <t xml:space="preserve">Звено </t>
    </r>
    <r>
      <rPr>
        <b/>
        <sz val="12"/>
        <color indexed="8"/>
        <rFont val="Times New Roman"/>
        <family val="1"/>
      </rPr>
      <t>1</t>
    </r>
    <r>
      <rPr>
        <sz val="12"/>
        <color theme="1"/>
        <rFont val="Times New Roman"/>
        <family val="2"/>
      </rPr>
      <t xml:space="preserve"> шарнир </t>
    </r>
    <r>
      <rPr>
        <b/>
        <sz val="12"/>
        <color indexed="8"/>
        <rFont val="Times New Roman"/>
        <family val="1"/>
      </rPr>
      <t>А1</t>
    </r>
    <r>
      <rPr>
        <sz val="12"/>
        <color theme="1"/>
        <rFont val="Times New Roman"/>
        <family val="2"/>
      </rPr>
      <t xml:space="preserve"> (Кривошип)</t>
    </r>
  </si>
  <si>
    <t>Проверка(2)</t>
  </si>
  <si>
    <t>Углы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</si>
</sst>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4"/>
      <color indexed="56"/>
      <name val="Times New Roman"/>
      <family val="0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18"/>
      <color indexed="8"/>
      <name val="Arial Cyr"/>
      <family val="0"/>
    </font>
    <font>
      <sz val="18"/>
      <color indexed="8"/>
      <name val="Times New Roman"/>
      <family val="0"/>
    </font>
    <font>
      <i/>
      <sz val="2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47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0" fillId="0" borderId="19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4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2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1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38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32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35" borderId="32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5" borderId="30" xfId="0" applyFill="1" applyBorder="1" applyAlignment="1">
      <alignment horizontal="center"/>
    </xf>
    <xf numFmtId="2" fontId="0" fillId="35" borderId="26" xfId="0" applyNumberFormat="1" applyFill="1" applyBorder="1" applyAlignment="1">
      <alignment/>
    </xf>
    <xf numFmtId="2" fontId="0" fillId="35" borderId="22" xfId="0" applyNumberFormat="1" applyFill="1" applyBorder="1" applyAlignment="1">
      <alignment/>
    </xf>
    <xf numFmtId="2" fontId="0" fillId="35" borderId="23" xfId="0" applyNumberFormat="1" applyFill="1" applyBorder="1" applyAlignment="1">
      <alignment/>
    </xf>
    <xf numFmtId="0" fontId="0" fillId="35" borderId="34" xfId="0" applyFill="1" applyBorder="1" applyAlignment="1">
      <alignment horizontal="center"/>
    </xf>
    <xf numFmtId="2" fontId="0" fillId="35" borderId="25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21" xfId="0" applyNumberFormat="1" applyFill="1" applyBorder="1" applyAlignment="1">
      <alignment/>
    </xf>
    <xf numFmtId="0" fontId="0" fillId="35" borderId="26" xfId="0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0" fontId="0" fillId="2" borderId="3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2" fontId="2" fillId="2" borderId="45" xfId="0" applyNumberFormat="1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10" borderId="31" xfId="0" applyFill="1" applyBorder="1" applyAlignment="1">
      <alignment horizontal="left"/>
    </xf>
    <xf numFmtId="0" fontId="0" fillId="10" borderId="32" xfId="0" applyFill="1" applyBorder="1" applyAlignment="1">
      <alignment/>
    </xf>
    <xf numFmtId="0" fontId="0" fillId="10" borderId="11" xfId="0" applyFill="1" applyBorder="1" applyAlignment="1">
      <alignment/>
    </xf>
    <xf numFmtId="2" fontId="2" fillId="4" borderId="33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0" fillId="10" borderId="33" xfId="0" applyFill="1" applyBorder="1" applyAlignment="1">
      <alignment/>
    </xf>
    <xf numFmtId="0" fontId="0" fillId="10" borderId="33" xfId="0" applyFill="1" applyBorder="1" applyAlignment="1">
      <alignment horizontal="center"/>
    </xf>
    <xf numFmtId="2" fontId="0" fillId="35" borderId="29" xfId="0" applyNumberFormat="1" applyFill="1" applyBorder="1" applyAlignment="1">
      <alignment/>
    </xf>
    <xf numFmtId="2" fontId="0" fillId="35" borderId="47" xfId="0" applyNumberFormat="1" applyFill="1" applyBorder="1" applyAlignment="1">
      <alignment/>
    </xf>
    <xf numFmtId="2" fontId="0" fillId="35" borderId="17" xfId="0" applyNumberFormat="1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11" borderId="3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12" borderId="31" xfId="0" applyFill="1" applyBorder="1" applyAlignment="1">
      <alignment horizontal="left"/>
    </xf>
    <xf numFmtId="2" fontId="0" fillId="12" borderId="11" xfId="0" applyNumberFormat="1" applyFill="1" applyBorder="1" applyAlignment="1">
      <alignment/>
    </xf>
    <xf numFmtId="2" fontId="0" fillId="12" borderId="32" xfId="0" applyNumberFormat="1" applyFill="1" applyBorder="1" applyAlignment="1">
      <alignment/>
    </xf>
    <xf numFmtId="0" fontId="0" fillId="6" borderId="34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13" borderId="31" xfId="0" applyFill="1" applyBorder="1" applyAlignment="1">
      <alignment horizontal="left"/>
    </xf>
    <xf numFmtId="0" fontId="0" fillId="13" borderId="30" xfId="0" applyFill="1" applyBorder="1" applyAlignment="1">
      <alignment/>
    </xf>
    <xf numFmtId="0" fontId="0" fillId="13" borderId="10" xfId="0" applyFill="1" applyBorder="1" applyAlignment="1">
      <alignment horizontal="center"/>
    </xf>
    <xf numFmtId="2" fontId="0" fillId="13" borderId="19" xfId="0" applyNumberFormat="1" applyFill="1" applyBorder="1" applyAlignment="1">
      <alignment/>
    </xf>
    <xf numFmtId="2" fontId="0" fillId="13" borderId="20" xfId="0" applyNumberFormat="1" applyFill="1" applyBorder="1" applyAlignment="1">
      <alignment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3" borderId="31" xfId="0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2" fillId="10" borderId="31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>
      <alignment horizontal="center"/>
    </xf>
    <xf numFmtId="2" fontId="0" fillId="10" borderId="31" xfId="0" applyNumberFormat="1" applyFont="1" applyFill="1" applyBorder="1" applyAlignment="1">
      <alignment horizontal="center"/>
    </xf>
    <xf numFmtId="2" fontId="0" fillId="10" borderId="11" xfId="0" applyNumberFormat="1" applyFont="1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25</xdr:row>
      <xdr:rowOff>133350</xdr:rowOff>
    </xdr:from>
    <xdr:to>
      <xdr:col>7</xdr:col>
      <xdr:colOff>647700</xdr:colOff>
      <xdr:row>31</xdr:row>
      <xdr:rowOff>38100</xdr:rowOff>
    </xdr:to>
    <xdr:sp>
      <xdr:nvSpPr>
        <xdr:cNvPr id="1" name="Прямая соединительная линия 445"/>
        <xdr:cNvSpPr>
          <a:spLocks/>
        </xdr:cNvSpPr>
      </xdr:nvSpPr>
      <xdr:spPr>
        <a:xfrm flipH="1" flipV="1">
          <a:off x="4105275" y="5133975"/>
          <a:ext cx="1343025" cy="1104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66675</xdr:rowOff>
    </xdr:from>
    <xdr:to>
      <xdr:col>15</xdr:col>
      <xdr:colOff>361950</xdr:colOff>
      <xdr:row>20</xdr:row>
      <xdr:rowOff>171450</xdr:rowOff>
    </xdr:to>
    <xdr:grpSp>
      <xdr:nvGrpSpPr>
        <xdr:cNvPr id="2" name="Группа 155"/>
        <xdr:cNvGrpSpPr>
          <a:grpSpLocks/>
        </xdr:cNvGrpSpPr>
      </xdr:nvGrpSpPr>
      <xdr:grpSpPr>
        <a:xfrm>
          <a:off x="1781175" y="66675"/>
          <a:ext cx="8867775" cy="4105275"/>
          <a:chOff x="2950029" y="171450"/>
          <a:chExt cx="8797017" cy="4191000"/>
        </a:xfrm>
        <a:solidFill>
          <a:srgbClr val="FFFFFF"/>
        </a:solidFill>
      </xdr:grpSpPr>
      <xdr:sp>
        <xdr:nvSpPr>
          <xdr:cNvPr id="3" name="Прямоугольник 52"/>
          <xdr:cNvSpPr>
            <a:spLocks/>
          </xdr:cNvSpPr>
        </xdr:nvSpPr>
        <xdr:spPr>
          <a:xfrm>
            <a:off x="2950029" y="191357"/>
            <a:ext cx="7767766" cy="417109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" name="Группа 154"/>
          <xdr:cNvGrpSpPr>
            <a:grpSpLocks/>
          </xdr:cNvGrpSpPr>
        </xdr:nvGrpSpPr>
        <xdr:grpSpPr>
          <a:xfrm>
            <a:off x="3121571" y="171450"/>
            <a:ext cx="8625475" cy="3977259"/>
            <a:chOff x="3121479" y="171450"/>
            <a:chExt cx="8625567" cy="3977368"/>
          </a:xfrm>
          <a:solidFill>
            <a:srgbClr val="FFFFFF"/>
          </a:solidFill>
        </xdr:grpSpPr>
        <xdr:grpSp>
          <xdr:nvGrpSpPr>
            <xdr:cNvPr id="5" name="Группа 151"/>
            <xdr:cNvGrpSpPr>
              <a:grpSpLocks/>
            </xdr:cNvGrpSpPr>
          </xdr:nvGrpSpPr>
          <xdr:grpSpPr>
            <a:xfrm>
              <a:off x="3121479" y="171450"/>
              <a:ext cx="8625567" cy="3977368"/>
              <a:chOff x="3121479" y="171450"/>
              <a:chExt cx="8625567" cy="3977368"/>
            </a:xfrm>
            <a:solidFill>
              <a:srgbClr val="FFFFFF"/>
            </a:solidFill>
          </xdr:grpSpPr>
          <xdr:grpSp>
            <xdr:nvGrpSpPr>
              <xdr:cNvPr id="6" name="Группа 79"/>
              <xdr:cNvGrpSpPr>
                <a:grpSpLocks/>
              </xdr:cNvGrpSpPr>
            </xdr:nvGrpSpPr>
            <xdr:grpSpPr>
              <a:xfrm>
                <a:off x="3121479" y="171450"/>
                <a:ext cx="8625567" cy="3977368"/>
                <a:chOff x="3143250" y="171450"/>
                <a:chExt cx="8696325" cy="3895725"/>
              </a:xfrm>
              <a:solidFill>
                <a:srgbClr val="FFFFFF"/>
              </a:solidFill>
            </xdr:grpSpPr>
            <xdr:grpSp>
              <xdr:nvGrpSpPr>
                <xdr:cNvPr id="7" name="Группа 77"/>
                <xdr:cNvGrpSpPr>
                  <a:grpSpLocks/>
                </xdr:cNvGrpSpPr>
              </xdr:nvGrpSpPr>
              <xdr:grpSpPr>
                <a:xfrm>
                  <a:off x="3143250" y="171450"/>
                  <a:ext cx="8696325" cy="3895725"/>
                  <a:chOff x="3143250" y="171450"/>
                  <a:chExt cx="8696325" cy="3895725"/>
                </a:xfrm>
                <a:solidFill>
                  <a:srgbClr val="FFFFFF"/>
                </a:solidFill>
              </xdr:grpSpPr>
              <xdr:grpSp>
                <xdr:nvGrpSpPr>
                  <xdr:cNvPr id="8" name="Группа 75"/>
                  <xdr:cNvGrpSpPr>
                    <a:grpSpLocks/>
                  </xdr:cNvGrpSpPr>
                </xdr:nvGrpSpPr>
                <xdr:grpSpPr>
                  <a:xfrm>
                    <a:off x="3143250" y="171450"/>
                    <a:ext cx="8696325" cy="3895725"/>
                    <a:chOff x="3143250" y="171450"/>
                    <a:chExt cx="8696325" cy="3895725"/>
                  </a:xfrm>
                  <a:solidFill>
                    <a:srgbClr val="FFFFFF"/>
                  </a:solidFill>
                </xdr:grpSpPr>
                <xdr:grpSp>
                  <xdr:nvGrpSpPr>
                    <xdr:cNvPr id="9" name="Группа 73"/>
                    <xdr:cNvGrpSpPr>
                      <a:grpSpLocks/>
                    </xdr:cNvGrpSpPr>
                  </xdr:nvGrpSpPr>
                  <xdr:grpSpPr>
                    <a:xfrm>
                      <a:off x="3143250" y="171450"/>
                      <a:ext cx="8696325" cy="3895725"/>
                      <a:chOff x="3143250" y="171450"/>
                      <a:chExt cx="8696325" cy="3895725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10" name="Группа 72"/>
                      <xdr:cNvGrpSpPr>
                        <a:grpSpLocks/>
                      </xdr:cNvGrpSpPr>
                    </xdr:nvGrpSpPr>
                    <xdr:grpSpPr>
                      <a:xfrm>
                        <a:off x="3143250" y="171450"/>
                        <a:ext cx="8696325" cy="3895725"/>
                        <a:chOff x="3143250" y="171450"/>
                        <a:chExt cx="8696325" cy="3895725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1" name="Прямая со стрелкой 69"/>
                        <xdr:cNvSpPr>
                          <a:spLocks/>
                        </xdr:cNvSpPr>
                      </xdr:nvSpPr>
                      <xdr:spPr>
                        <a:xfrm flipV="1">
                          <a:off x="3665030" y="3838301"/>
                          <a:ext cx="3152418" cy="0"/>
                        </a:xfrm>
                        <a:prstGeom prst="straightConnector1">
                          <a:avLst/>
                        </a:prstGeom>
                        <a:noFill/>
                        <a:ln w="19050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 lIns="91440" tIns="45720" rIns="91440" bIns="45720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Times New Roman"/>
                              <a:ea typeface="Times New Roman"/>
                              <a:cs typeface="Times New Roman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12" name="Группа 71"/>
                        <xdr:cNvGrpSpPr>
                          <a:grpSpLocks/>
                        </xdr:cNvGrpSpPr>
                      </xdr:nvGrpSpPr>
                      <xdr:grpSpPr>
                        <a:xfrm>
                          <a:off x="3143250" y="171450"/>
                          <a:ext cx="8696325" cy="3895725"/>
                          <a:chOff x="3143250" y="171450"/>
                          <a:chExt cx="8696325" cy="3895725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13" name="Группа 65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143250" y="171450"/>
                            <a:ext cx="8696325" cy="3772036"/>
                            <a:chOff x="3143250" y="171450"/>
                            <a:chExt cx="8696325" cy="3771900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4" name="Группа 63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3143250" y="494890"/>
                              <a:ext cx="7428836" cy="3448460"/>
                              <a:chOff x="3143250" y="495300"/>
                              <a:chExt cx="7429500" cy="3448050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5" name="Группа 57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3143250" y="571157"/>
                                <a:ext cx="7353348" cy="3372193"/>
                                <a:chOff x="3143250" y="571500"/>
                                <a:chExt cx="7353300" cy="3371850"/>
                              </a:xfrm>
                              <a:solidFill>
                                <a:srgbClr val="FFFFFF"/>
                              </a:solidFill>
                            </xdr:grpSpPr>
                            <xdr:sp>
                              <xdr:nvSpPr>
                                <xdr:cNvPr id="16" name="TextBox 47"/>
                                <xdr:cNvSpPr txBox="1">
                                  <a:spLocks noChangeArrowheads="1"/>
                                </xdr:cNvSpPr>
                              </xdr:nvSpPr>
                              <xdr:spPr>
                                <a:xfrm>
                                  <a:off x="3143250" y="2791020"/>
                                  <a:ext cx="1448600" cy="533595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2400" b="0" i="0" u="none" baseline="0">
                                      <a:solidFill>
                                        <a:srgbClr val="000000"/>
                                      </a:solidFill>
                                      <a:latin typeface="Times New Roman"/>
                                      <a:ea typeface="Times New Roman"/>
                                      <a:cs typeface="Times New Roman"/>
                                    </a:rPr>
                                    <a:t>O</a:t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17" name="TextBox 49"/>
                                <xdr:cNvSpPr txBox="1">
                                  <a:spLocks noChangeArrowheads="1"/>
                                </xdr:cNvSpPr>
                              </xdr:nvSpPr>
                              <xdr:spPr>
                                <a:xfrm>
                                  <a:off x="4827156" y="571500"/>
                                  <a:ext cx="1448600" cy="533595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2400" b="0" i="0" u="none" baseline="0">
                                      <a:solidFill>
                                        <a:srgbClr val="000000"/>
                                      </a:solidFill>
                                      <a:latin typeface="Times New Roman"/>
                                      <a:ea typeface="Times New Roman"/>
                                      <a:cs typeface="Times New Roman"/>
                                    </a:rPr>
                                    <a:t>A</a:t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18" name="TextBox 51"/>
                                <xdr:cNvSpPr txBox="1">
                                  <a:spLocks noChangeArrowheads="1"/>
                                </xdr:cNvSpPr>
                              </xdr:nvSpPr>
                              <xdr:spPr>
                                <a:xfrm>
                                  <a:off x="6990864" y="1828357"/>
                                  <a:ext cx="1448600" cy="533595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2400" b="0" i="0" u="none" baseline="0">
                                      <a:solidFill>
                                        <a:srgbClr val="000000"/>
                                      </a:solidFill>
                                      <a:latin typeface="Times New Roman"/>
                                      <a:ea typeface="Times New Roman"/>
                                      <a:cs typeface="Times New Roman"/>
                                    </a:rPr>
                                    <a:t>D</a:t>
                                  </a:r>
                                </a:p>
                              </xdr:txBody>
                            </xdr:sp>
                            <xdr:sp>
                              <xdr:nvSpPr>
                                <xdr:cNvPr id="19" name="TextBox 53"/>
                                <xdr:cNvSpPr txBox="1">
                                  <a:spLocks noChangeArrowheads="1"/>
                                </xdr:cNvSpPr>
                              </xdr:nvSpPr>
                              <xdr:spPr>
                                <a:xfrm>
                                  <a:off x="8867794" y="1714557"/>
                                  <a:ext cx="1448600" cy="533595"/>
                                </a:xfrm>
                                <a:prstGeom prst="rect">
                                  <a:avLst/>
                                </a:prstGeom>
                                <a:noFill/>
                                <a:ln w="9525" cmpd="sng">
                                  <a:noFill/>
                                </a:ln>
                              </xdr:spPr>
                              <xdr:txBody>
                                <a:bodyPr vertOverflow="clip" wrap="square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sz="2400" b="0" i="0" u="none" baseline="0">
                                      <a:solidFill>
                                        <a:srgbClr val="000000"/>
                                      </a:solidFill>
                                      <a:latin typeface="Times New Roman"/>
                                      <a:ea typeface="Times New Roman"/>
                                      <a:cs typeface="Times New Roman"/>
                                    </a:rPr>
                                    <a:t>E</a:t>
                                  </a:r>
                                </a:p>
                              </xdr:txBody>
                            </xdr:sp>
                            <xdr:grpSp>
                              <xdr:nvGrpSpPr>
                                <xdr:cNvPr id="20" name="Группа 56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3218621" y="885925"/>
                                  <a:ext cx="7277929" cy="3057425"/>
                                  <a:chOff x="3219450" y="885825"/>
                                  <a:chExt cx="7277100" cy="3057525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21" name="Группа 51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3219450" y="885825"/>
                                    <a:ext cx="7277100" cy="3057525"/>
                                    <a:chOff x="3476624" y="885897"/>
                                    <a:chExt cx="7275676" cy="3060000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sp>
                                  <xdr:nvSpPr>
                                    <xdr:cNvPr id="22" name="Прямая соединительная линия 50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7152659" y="2287377"/>
                                      <a:ext cx="3599641" cy="0"/>
                                    </a:xfrm>
                                    <a:prstGeom prst="line">
                                      <a:avLst/>
                                    </a:prstGeom>
                                    <a:noFill/>
                                    <a:ln w="28575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 lIns="91440" tIns="45720" rIns="91440" bIns="45720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Times New Roman"/>
                                          <a:ea typeface="Times New Roman"/>
                                          <a:cs typeface="Times New Roman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23" name="Прямоугольник 48"/>
                                    <xdr:cNvSpPr>
                                      <a:spLocks/>
                                    </xdr:cNvSpPr>
                                  </xdr:nvSpPr>
                                  <xdr:spPr>
                                    <a:xfrm>
                                      <a:off x="8980673" y="2134377"/>
                                      <a:ext cx="667543" cy="361845"/>
                                    </a:xfrm>
                                    <a:prstGeom prst="rect">
                                      <a:avLst/>
                                    </a:prstGeom>
                                    <a:solidFill>
                                      <a:srgbClr val="FFFFFF"/>
                                    </a:solidFill>
                                    <a:ln w="25400" cmpd="sng">
                                      <a:solidFill>
                                        <a:srgbClr val="000000"/>
                                      </a:solidFill>
                                      <a:headEnd type="none"/>
                                      <a:tailEnd type="none"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u="none" baseline="0">
                                          <a:latin typeface="Times New Roman"/>
                                          <a:ea typeface="Times New Roman"/>
                                          <a:cs typeface="Times New Roman"/>
                                        </a:rPr>
                                        <a:t/>
                                      </a:r>
                                    </a:p>
                                  </xdr:txBody>
                                </xdr:sp>
                                <xdr:grpSp>
                                  <xdr:nvGrpSpPr>
                                    <xdr:cNvPr id="24" name="Группа 16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8858805" y="2228472"/>
                                      <a:ext cx="1113178" cy="694620"/>
                                      <a:chOff x="5915024" y="2514600"/>
                                      <a:chExt cx="1113451" cy="694350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25" name="Группа 6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5915024" y="2514600"/>
                                        <a:ext cx="950330" cy="504792"/>
                                        <a:chOff x="4229099" y="2381250"/>
                                        <a:chExt cx="950400" cy="504825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26" name="Группа 3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4438662" y="2381250"/>
                                          <a:ext cx="476150" cy="495360"/>
                                          <a:chOff x="5048250" y="2990850"/>
                                          <a:chExt cx="476250" cy="495300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sp>
                                        <xdr:nvSpPr>
                                          <xdr:cNvPr id="27" name="Равнобедренный треугольник 2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5048250" y="3077651"/>
                                            <a:ext cx="476250" cy="409861"/>
                                          </a:xfrm>
                                          <a:prstGeom prst="triangle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25400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Times New Roman"/>
                                                <a:ea typeface="Times New Roman"/>
                                                <a:cs typeface="Times New Roman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  <xdr:sp>
                                        <xdr:nvSpPr>
                                          <xdr:cNvPr id="28" name="Овал 1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5199102" y="2991841"/>
                                            <a:ext cx="180975" cy="181156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25400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Times New Roman"/>
                                                <a:ea typeface="Times New Roman"/>
                                                <a:cs typeface="Times New Roman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  <xdr:sp>
                                      <xdr:nvSpPr>
                                        <xdr:cNvPr id="29" name="Прямая соединительная линия 25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 flipH="1" flipV="1">
                                          <a:off x="4229099" y="2887463"/>
                                          <a:ext cx="952538" cy="0"/>
                                        </a:xfrm>
                                        <a:prstGeom prst="line">
                                          <a:avLst/>
                                        </a:prstGeom>
                                        <a:noFill/>
                                        <a:ln w="19050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 lIns="91440" tIns="45720" rIns="91440" bIns="45720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</xdr:grpSp>
                                  <xdr:sp>
                                    <xdr:nvSpPr>
                                      <xdr:cNvPr id="30" name="Прямая соединительная линия 18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5915024" y="3020781"/>
                                        <a:ext cx="180936" cy="181052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31" name="Прямая соединительная линия 19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6104032" y="3020781"/>
                                        <a:ext cx="180936" cy="181052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32" name="Прямая соединительная линия 20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6313361" y="3020781"/>
                                        <a:ext cx="180936" cy="181052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33" name="Прямая соединительная линия 21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6846982" y="3020781"/>
                                        <a:ext cx="180936" cy="181052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34" name="Прямая соединительная линия 22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6675511" y="3030328"/>
                                        <a:ext cx="180936" cy="181052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35" name="Прямая соединительная линия 23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6494575" y="3020781"/>
                                        <a:ext cx="180936" cy="181052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grpSp>
                                  <xdr:nvGrpSpPr>
                                    <xdr:cNvPr id="36" name="Группа 47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3476624" y="885897"/>
                                      <a:ext cx="3770619" cy="3060000"/>
                                      <a:chOff x="3476624" y="885897"/>
                                      <a:chExt cx="3771162" cy="3060000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37" name="Группа 41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3476624" y="885897"/>
                                        <a:ext cx="3771162" cy="3060000"/>
                                        <a:chOff x="3476624" y="885897"/>
                                        <a:chExt cx="3771162" cy="3060000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sp>
                                      <xdr:nvSpPr>
                                        <xdr:cNvPr id="38" name="Прямая соединительная линия 40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 flipH="1">
                                          <a:off x="7065827" y="885897"/>
                                          <a:ext cx="0" cy="3060000"/>
                                        </a:xfrm>
                                        <a:prstGeom prst="line">
                                          <a:avLst/>
                                        </a:prstGeom>
                                        <a:noFill/>
                                        <a:ln w="19050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 lIns="91440" tIns="45720" rIns="91440" bIns="45720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39" name="Прямоугольник 38"/>
                                        <xdr:cNvSpPr>
                                          <a:spLocks/>
                                        </xdr:cNvSpPr>
                                      </xdr:nvSpPr>
                                      <xdr:spPr>
                                        <a:xfrm>
                                          <a:off x="6884812" y="1972197"/>
                                          <a:ext cx="362032" cy="667080"/>
                                        </a:xfrm>
                                        <a:prstGeom prst="rect">
                                          <a:avLst/>
                                        </a:prstGeom>
                                        <a:solidFill>
                                          <a:srgbClr val="FFFFFF"/>
                                        </a:solidFill>
                                        <a:ln w="25400" cmpd="sng">
                                          <a:solidFill>
                                            <a:srgbClr val="000000"/>
                                          </a:solidFill>
                                          <a:headEnd type="none"/>
                                          <a:tailEnd type="none"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u="none" baseline="0"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/>
                                          </a:r>
                                        </a:p>
                                      </xdr:txBody>
                                    </xdr:sp>
                                    <xdr:grpSp>
                                      <xdr:nvGrpSpPr>
                                        <xdr:cNvPr id="40" name="Группа 37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3476624" y="1057257"/>
                                          <a:ext cx="3675940" cy="2666025"/>
                                          <a:chOff x="3476624" y="1057275"/>
                                          <a:chExt cx="3675676" cy="2666025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sp>
                                        <xdr:nvSpPr>
                                          <xdr:cNvPr id="41" name="Овал 29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>
                                            <a:off x="6970354" y="2201000"/>
                                            <a:ext cx="181027" cy="181290"/>
                                          </a:xfrm>
                                          <a:prstGeom prst="ellipse">
                                            <a:avLst/>
                                          </a:prstGeom>
                                          <a:solidFill>
                                            <a:srgbClr val="FFFFFF"/>
                                          </a:solidFill>
                                          <a:ln w="25400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Times New Roman"/>
                                                <a:ea typeface="Times New Roman"/>
                                                <a:cs typeface="Times New Roman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  <xdr:grpSp>
                                        <xdr:nvGrpSpPr>
                                          <xdr:cNvPr id="42" name="Группа 32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3476624" y="1057275"/>
                                            <a:ext cx="1799243" cy="2666025"/>
                                            <a:chOff x="3476624" y="1057275"/>
                                            <a:chExt cx="1799250" cy="2666025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43" name="Прямая соединительная линия 31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 flipH="1">
                                              <a:off x="3942180" y="1105263"/>
                                              <a:ext cx="1266672" cy="1972859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noFill/>
                                            <a:ln w="2857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 lIns="91440" tIns="45720" rIns="91440" bIns="4572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Times New Roman"/>
                                                  <a:ea typeface="Times New Roman"/>
                                                  <a:cs typeface="Times New Roman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44" name="Овал 28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>
                                              <a:off x="5094600" y="1057275"/>
                                              <a:ext cx="180825" cy="181290"/>
                                            </a:xfrm>
                                            <a:prstGeom prst="ellipse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254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Times New Roman"/>
                                                  <a:ea typeface="Times New Roman"/>
                                                  <a:cs typeface="Times New Roman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45" name="Группа 15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3476624" y="3028800"/>
                                              <a:ext cx="1113286" cy="694500"/>
                                              <a:chOff x="5915024" y="2514600"/>
                                              <a:chExt cx="1113451" cy="694350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46" name="Группа 6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5915024" y="2514600"/>
                                                <a:ext cx="950330" cy="504792"/>
                                                <a:chOff x="4229099" y="2381250"/>
                                                <a:chExt cx="950400" cy="504825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47" name="Группа 3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4438662" y="2381250"/>
                                                  <a:ext cx="476150" cy="495360"/>
                                                  <a:chOff x="5048250" y="2990850"/>
                                                  <a:chExt cx="476250" cy="495300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sp>
                                                <xdr:nvSpPr>
                                                  <xdr:cNvPr id="48" name="Равнобедренный треугольник 2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5048250" y="3078270"/>
                                                    <a:ext cx="476250" cy="409861"/>
                                                  </a:xfrm>
                                                  <a:prstGeom prst="triangl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254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Times New Roman"/>
                                                        <a:ea typeface="Times New Roman"/>
                                                        <a:cs typeface="Times New Roman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  <xdr:sp>
                                                <xdr:nvSpPr>
                                                  <xdr:cNvPr id="49" name="Овал 1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5199221" y="2992460"/>
                                                    <a:ext cx="180975" cy="181156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254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Times New Roman"/>
                                                        <a:ea typeface="Times New Roman"/>
                                                        <a:cs typeface="Times New Roman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50" name="Прямая соединительная линия 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H="1" flipV="1">
                                                  <a:off x="4229099" y="2888094"/>
                                                  <a:ext cx="952538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90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Times New Roman"/>
                                                      <a:ea typeface="Times New Roman"/>
                                                      <a:cs typeface="Times New Roman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51" name="Прямая соединительная линия 8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5915024" y="3021476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52" name="Прямая соединительная линия 10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104032" y="3021476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53" name="Прямая соединительная линия 11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313639" y="3021476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54" name="Прямая соединительная линия 12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846982" y="3021476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55" name="Прямая соединительная линия 13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675511" y="3030849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56" name="Прямая соединительная линия 14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494575" y="3021476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</xdr:grpSp>
                                      <xdr:sp>
                                        <xdr:nvSpPr>
                                          <xdr:cNvPr id="57" name="Прямая соединительная линия 34"/>
                                          <xdr:cNvSpPr>
                                            <a:spLocks/>
                                          </xdr:cNvSpPr>
                                        </xdr:nvSpPr>
                                        <xdr:spPr>
                                          <a:xfrm flipH="1" flipV="1">
                                            <a:off x="5246462" y="1209905"/>
                                            <a:ext cx="1752379" cy="1019755"/>
                                          </a:xfrm>
                                          <a:prstGeom prst="line">
                                            <a:avLst/>
                                          </a:prstGeom>
                                          <a:noFill/>
                                          <a:ln w="28575" cmpd="sng">
                                            <a:solidFill>
                                              <a:srgbClr val="000000"/>
                                            </a:solidFill>
                                            <a:headEnd type="none"/>
                                            <a:tailEnd type="none"/>
                                          </a:ln>
                                        </xdr:spPr>
                                        <xdr:txBody>
                                          <a:bodyPr vertOverflow="clip" wrap="square" lIns="91440" tIns="45720" rIns="91440" bIns="45720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u="none" baseline="0">
                                                <a:latin typeface="Times New Roman"/>
                                                <a:ea typeface="Times New Roman"/>
                                                <a:cs typeface="Times New Roman"/>
                                              </a:rPr>
                                              <a:t/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</xdr:grpSp>
                                  <xdr:sp>
                                    <xdr:nvSpPr>
                                      <xdr:cNvPr id="58" name="Прямая соединительная линия 43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flipV="1">
                                        <a:off x="7075255" y="3659787"/>
                                        <a:ext cx="152732" cy="190485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59" name="Прямая соединительная линия 44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flipV="1">
                                        <a:off x="7065827" y="3469302"/>
                                        <a:ext cx="152732" cy="190485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60" name="Прямая соединительная линия 45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flipV="1">
                                        <a:off x="7065827" y="3249747"/>
                                        <a:ext cx="152732" cy="190485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sp>
                                    <xdr:nvSpPr>
                                      <xdr:cNvPr id="61" name="Прямая соединительная линия 46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flipV="1">
                                        <a:off x="7075255" y="3030192"/>
                                        <a:ext cx="152732" cy="190485"/>
                                      </a:xfrm>
                                      <a:prstGeom prst="line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000000"/>
                                        </a:solidFill>
                                        <a:headEnd type="none"/>
                                        <a:tailEnd type="none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</xdr:grpSp>
                              <xdr:sp>
                                <xdr:nvSpPr>
                                  <xdr:cNvPr id="62" name="TextBox 54"/>
                                  <xdr:cNvSpPr txBox="1">
                                    <a:spLocks noChangeArrowheads="1"/>
                                  </xdr:cNvSpPr>
                                </xdr:nvSpPr>
                                <xdr:spPr>
                                  <a:xfrm>
                                    <a:off x="3817991" y="1780915"/>
                                    <a:ext cx="1448143" cy="53353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noFill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sz="2400" b="1" i="0" u="none" baseline="0">
                                        <a:solidFill>
                                          <a:srgbClr val="000000"/>
                                        </a:solidFill>
                                        <a:latin typeface="Times New Roman"/>
                                        <a:ea typeface="Times New Roman"/>
                                        <a:cs typeface="Times New Roman"/>
                                      </a:rPr>
                                      <a:t>L1</a:t>
                                    </a:r>
                                  </a:p>
                                </xdr:txBody>
                              </xdr:sp>
                              <xdr:sp>
                                <xdr:nvSpPr>
                                  <xdr:cNvPr id="63" name="TextBox 55"/>
                                  <xdr:cNvSpPr txBox="1">
                                    <a:spLocks noChangeArrowheads="1"/>
                                  </xdr:cNvSpPr>
                                </xdr:nvSpPr>
                                <xdr:spPr>
                                  <a:xfrm>
                                    <a:off x="5333448" y="1543193"/>
                                    <a:ext cx="1448143" cy="533538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 w="9525" cmpd="sng">
                                    <a:noFill/>
                                  </a:ln>
                                </xdr:spPr>
                                <xdr:txBody>
                                  <a:bodyPr vertOverflow="clip" wrap="square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sz="2400" b="1" i="0" u="none" baseline="0">
                                        <a:solidFill>
                                          <a:srgbClr val="000000"/>
                                        </a:solidFill>
                                        <a:latin typeface="Times New Roman"/>
                                        <a:ea typeface="Times New Roman"/>
                                        <a:cs typeface="Times New Roman"/>
                                      </a:rPr>
                                      <a:t>L2</a:t>
                                    </a:r>
                                  </a:p>
                                </xdr:txBody>
                              </xdr:sp>
                            </xdr:grpSp>
                          </xdr:grpSp>
                          <xdr:sp>
                            <xdr:nvSpPr>
                              <xdr:cNvPr id="64" name="Прямая со стрелкой 59"/>
                              <xdr:cNvSpPr>
                                <a:spLocks/>
                              </xdr:cNvSpPr>
                            </xdr:nvSpPr>
                            <xdr:spPr>
                              <a:xfrm flipH="1" flipV="1">
                                <a:off x="3665172" y="495300"/>
                                <a:ext cx="0" cy="2533455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19050" cmpd="sng">
                                <a:solidFill>
                                  <a:srgbClr val="BE4B48"/>
                                </a:solidFill>
                                <a:headEnd type="none"/>
                                <a:tailEnd type="arrow"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Times New Roman"/>
                                    <a:ea typeface="Times New Roman"/>
                                    <a:cs typeface="Times New Roman"/>
                                  </a:rPr>
                                  <a:t/>
                                </a:r>
                              </a:p>
                            </xdr:txBody>
                          </xdr:sp>
                          <xdr:sp>
                            <xdr:nvSpPr>
                              <xdr:cNvPr id="65" name="Прямая со стрелкой 61"/>
                              <xdr:cNvSpPr>
                                <a:spLocks/>
                              </xdr:cNvSpPr>
                            </xdr:nvSpPr>
                            <xdr:spPr>
                              <a:xfrm>
                                <a:off x="3761756" y="3123576"/>
                                <a:ext cx="6810994" cy="0"/>
                              </a:xfrm>
                              <a:prstGeom prst="straightConnector1">
                                <a:avLst/>
                              </a:prstGeom>
                              <a:noFill/>
                              <a:ln w="19050" cmpd="sng">
                                <a:solidFill>
                                  <a:srgbClr val="BE4B48"/>
                                </a:solidFill>
                                <a:headEnd type="none"/>
                                <a:tailEnd type="arrow"/>
                              </a:ln>
                            </xdr:spPr>
                            <xdr:txBody>
                              <a:bodyPr vertOverflow="clip" wrap="square" lIns="91440" tIns="45720" rIns="91440" bIns="45720"/>
                              <a:p>
                                <a:pPr algn="l">
                                  <a:defRPr/>
                                </a:pPr>
                                <a:r>
                                  <a:rPr lang="en-US" cap="none" u="none" baseline="0">
                                    <a:latin typeface="Times New Roman"/>
                                    <a:ea typeface="Times New Roman"/>
                                    <a:cs typeface="Times New Roman"/>
                                  </a:rPr>
                                  <a:t/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66" name="TextBox 62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10391637" y="3066383"/>
                              <a:ext cx="1447938" cy="533724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sz="2400" b="0" i="1" u="none" baseline="0">
                                  <a:solidFill>
                                    <a:srgbClr val="000000"/>
                                  </a:solidFill>
                                  <a:latin typeface="Times New Roman"/>
                                  <a:ea typeface="Times New Roman"/>
                                  <a:cs typeface="Times New Roman"/>
                                </a:rPr>
                                <a:t>х</a:t>
                              </a:r>
                            </a:p>
                          </xdr:txBody>
                        </xdr:sp>
                        <xdr:sp>
                          <xdr:nvSpPr>
                            <xdr:cNvPr id="67" name="TextBox 64"/>
                            <xdr:cNvSpPr txBox="1">
                              <a:spLocks noChangeArrowheads="1"/>
                            </xdr:cNvSpPr>
                          </xdr:nvSpPr>
                          <xdr:spPr>
                            <a:xfrm>
                              <a:off x="3323699" y="171450"/>
                              <a:ext cx="1447938" cy="533724"/>
                            </a:xfrm>
                            <a:prstGeom prst="rect">
                              <a:avLst/>
                            </a:prstGeom>
                            <a:noFill/>
                            <a:ln w="9525" cmpd="sng">
                              <a:noFill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sz="2400" b="0" i="1" u="none" baseline="0">
                                  <a:solidFill>
                                    <a:srgbClr val="000000"/>
                                  </a:solidFill>
                                  <a:latin typeface="Times New Roman"/>
                                  <a:ea typeface="Times New Roman"/>
                                  <a:cs typeface="Times New Roman"/>
                                </a:rPr>
                                <a:t>у</a:t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68" name="Прямая соединительная линия 67"/>
                          <xdr:cNvSpPr>
                            <a:spLocks/>
                          </xdr:cNvSpPr>
                        </xdr:nvSpPr>
                        <xdr:spPr>
                          <a:xfrm flipH="1">
                            <a:off x="3665030" y="3210116"/>
                            <a:ext cx="0" cy="771354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 lIns="91440" tIns="45720" rIns="91440" bIns="45720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Times New Roman"/>
                                <a:ea typeface="Times New Roman"/>
                                <a:cs typeface="Times New Roman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9" name="TextBox 70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5008612" y="3533461"/>
                            <a:ext cx="1447938" cy="533714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800" b="0" i="0" u="none" baseline="0">
                                <a:solidFill>
                                  <a:srgbClr val="000000"/>
                                </a:solidFill>
                                <a:latin typeface="Times New Roman"/>
                                <a:ea typeface="Times New Roman"/>
                                <a:cs typeface="Times New Roman"/>
                              </a:rPr>
                              <a:t>a</a:t>
                            </a:r>
                          </a:p>
                        </xdr:txBody>
                      </xdr:sp>
                    </xdr:grpSp>
                  </xdr:grpSp>
                  <xdr:sp>
                    <xdr:nvSpPr>
                      <xdr:cNvPr id="70" name="Прямая соединительная линия 65"/>
                      <xdr:cNvSpPr>
                        <a:spLocks/>
                      </xdr:cNvSpPr>
                    </xdr:nvSpPr>
                    <xdr:spPr>
                      <a:xfrm>
                        <a:off x="5552132" y="1514501"/>
                        <a:ext cx="876155" cy="0"/>
                      </a:xfrm>
                      <a:prstGeom prst="line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Times New Roman"/>
                            <a:ea typeface="Times New Roman"/>
                            <a:cs typeface="Times New Roman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1" name="Полилиния 71"/>
                      <xdr:cNvSpPr>
                        <a:spLocks/>
                      </xdr:cNvSpPr>
                    </xdr:nvSpPr>
                    <xdr:spPr>
                      <a:xfrm>
                        <a:off x="3817215" y="2876057"/>
                        <a:ext cx="152186" cy="228874"/>
                      </a:xfrm>
                      <a:custGeom>
                        <a:pathLst>
                          <a:path h="228600" w="155575">
                            <a:moveTo>
                              <a:pt x="0" y="0"/>
                            </a:moveTo>
                            <a:cubicBezTo>
                              <a:pt x="36512" y="9525"/>
                              <a:pt x="73025" y="19050"/>
                              <a:pt x="95250" y="38100"/>
                            </a:cubicBezTo>
                            <a:cubicBezTo>
                              <a:pt x="117475" y="57150"/>
                              <a:pt x="123825" y="88900"/>
                              <a:pt x="133350" y="114300"/>
                            </a:cubicBezTo>
                            <a:cubicBezTo>
                              <a:pt x="142875" y="139700"/>
                              <a:pt x="149225" y="171450"/>
                              <a:pt x="152400" y="190500"/>
                            </a:cubicBezTo>
                            <a:cubicBezTo>
                              <a:pt x="155575" y="209550"/>
                              <a:pt x="153987" y="219075"/>
                              <a:pt x="152400" y="228600"/>
                            </a:cubicBezTo>
                          </a:path>
                        </a:pathLst>
                      </a:cu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Times New Roman"/>
                            <a:ea typeface="Times New Roman"/>
                            <a:cs typeface="Times New Roman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72" name="TextBox 74"/>
                    <xdr:cNvSpPr txBox="1">
                      <a:spLocks noChangeArrowheads="1"/>
                    </xdr:cNvSpPr>
                  </xdr:nvSpPr>
                  <xdr:spPr>
                    <a:xfrm>
                      <a:off x="3904178" y="2704645"/>
                      <a:ext cx="1447938" cy="533714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800" b="0" i="0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φ</a:t>
                      </a:r>
                    </a:p>
                  </xdr:txBody>
                </xdr:sp>
              </xdr:grpSp>
              <xdr:sp>
                <xdr:nvSpPr>
                  <xdr:cNvPr id="73" name="TextBox 76"/>
                  <xdr:cNvSpPr txBox="1">
                    <a:spLocks noChangeArrowheads="1"/>
                  </xdr:cNvSpPr>
                </xdr:nvSpPr>
                <xdr:spPr>
                  <a:xfrm>
                    <a:off x="5580395" y="1018770"/>
                    <a:ext cx="847892" cy="53371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ψ</a:t>
                    </a:r>
                  </a:p>
                </xdr:txBody>
              </xdr:sp>
            </xdr:grpSp>
            <xdr:sp>
              <xdr:nvSpPr>
                <xdr:cNvPr id="74" name="Полилиния 78"/>
                <xdr:cNvSpPr>
                  <a:spLocks/>
                </xdr:cNvSpPr>
              </xdr:nvSpPr>
              <xdr:spPr>
                <a:xfrm>
                  <a:off x="5236890" y="1285627"/>
                  <a:ext cx="591350" cy="228874"/>
                </a:xfrm>
                <a:custGeom>
                  <a:pathLst>
                    <a:path h="233362" w="590550">
                      <a:moveTo>
                        <a:pt x="0" y="71437"/>
                      </a:moveTo>
                      <a:cubicBezTo>
                        <a:pt x="42069" y="48418"/>
                        <a:pt x="84138" y="25400"/>
                        <a:pt x="123825" y="14287"/>
                      </a:cubicBezTo>
                      <a:cubicBezTo>
                        <a:pt x="163513" y="3175"/>
                        <a:pt x="193675" y="0"/>
                        <a:pt x="238125" y="4762"/>
                      </a:cubicBezTo>
                      <a:cubicBezTo>
                        <a:pt x="282575" y="9525"/>
                        <a:pt x="341313" y="20637"/>
                        <a:pt x="390525" y="42862"/>
                      </a:cubicBezTo>
                      <a:cubicBezTo>
                        <a:pt x="439737" y="65087"/>
                        <a:pt x="500063" y="106362"/>
                        <a:pt x="533400" y="138112"/>
                      </a:cubicBezTo>
                      <a:cubicBezTo>
                        <a:pt x="566737" y="169862"/>
                        <a:pt x="578643" y="201612"/>
                        <a:pt x="590550" y="233362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Times New Roman"/>
                      <a:ea typeface="Times New Roman"/>
                      <a:cs typeface="Times New Roman"/>
                    </a:rPr>
                    <a:t/>
                  </a:r>
                </a:p>
              </xdr:txBody>
            </xdr:sp>
          </xdr:grpSp>
          <xdr:sp>
            <xdr:nvSpPr>
              <xdr:cNvPr id="75" name="TextBox 149"/>
              <xdr:cNvSpPr txBox="1">
                <a:spLocks noChangeArrowheads="1"/>
              </xdr:cNvSpPr>
            </xdr:nvSpPr>
            <xdr:spPr>
              <a:xfrm>
                <a:off x="9676910" y="1805154"/>
                <a:ext cx="1436157" cy="54489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</a:t>
                </a:r>
              </a:p>
            </xdr:txBody>
          </xdr:sp>
        </xdr:grpSp>
        <xdr:sp>
          <xdr:nvSpPr>
            <xdr:cNvPr id="76" name="TextBox 153"/>
            <xdr:cNvSpPr txBox="1">
              <a:spLocks noChangeArrowheads="1"/>
            </xdr:cNvSpPr>
          </xdr:nvSpPr>
          <xdr:spPr>
            <a:xfrm>
              <a:off x="7466608" y="1776318"/>
              <a:ext cx="1436157" cy="5448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L</a:t>
              </a:r>
              <a:r>
                <a:rPr lang="en-US" cap="none" sz="2400" b="1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4
</a:t>
              </a:r>
            </a:p>
          </xdr:txBody>
        </xdr:sp>
      </xdr:grpSp>
    </xdr:grpSp>
    <xdr:clientData/>
  </xdr:twoCellAnchor>
  <xdr:twoCellAnchor>
    <xdr:from>
      <xdr:col>2</xdr:col>
      <xdr:colOff>419100</xdr:colOff>
      <xdr:row>20</xdr:row>
      <xdr:rowOff>180975</xdr:rowOff>
    </xdr:from>
    <xdr:to>
      <xdr:col>15</xdr:col>
      <xdr:colOff>371475</xdr:colOff>
      <xdr:row>39</xdr:row>
      <xdr:rowOff>66675</xdr:rowOff>
    </xdr:to>
    <xdr:grpSp>
      <xdr:nvGrpSpPr>
        <xdr:cNvPr id="77" name="Группа 174"/>
        <xdr:cNvGrpSpPr>
          <a:grpSpLocks/>
        </xdr:cNvGrpSpPr>
      </xdr:nvGrpSpPr>
      <xdr:grpSpPr>
        <a:xfrm>
          <a:off x="1790700" y="4181475"/>
          <a:ext cx="8867775" cy="3686175"/>
          <a:chOff x="2930979" y="4391025"/>
          <a:chExt cx="8797017" cy="3769179"/>
        </a:xfrm>
        <a:solidFill>
          <a:srgbClr val="FFFFFF"/>
        </a:solidFill>
      </xdr:grpSpPr>
      <xdr:grpSp>
        <xdr:nvGrpSpPr>
          <xdr:cNvPr id="78" name="Группа 162"/>
          <xdr:cNvGrpSpPr>
            <a:grpSpLocks/>
          </xdr:cNvGrpSpPr>
        </xdr:nvGrpSpPr>
        <xdr:grpSpPr>
          <a:xfrm>
            <a:off x="2930979" y="4391025"/>
            <a:ext cx="8797017" cy="3769179"/>
            <a:chOff x="2930979" y="4391025"/>
            <a:chExt cx="8797017" cy="3769179"/>
          </a:xfrm>
          <a:solidFill>
            <a:srgbClr val="FFFFFF"/>
          </a:solidFill>
        </xdr:grpSpPr>
        <xdr:grpSp>
          <xdr:nvGrpSpPr>
            <xdr:cNvPr id="79" name="Группа 153"/>
            <xdr:cNvGrpSpPr>
              <a:grpSpLocks/>
            </xdr:cNvGrpSpPr>
          </xdr:nvGrpSpPr>
          <xdr:grpSpPr>
            <a:xfrm>
              <a:off x="2930979" y="4391025"/>
              <a:ext cx="8797017" cy="3769179"/>
              <a:chOff x="2978604" y="4604657"/>
              <a:chExt cx="8797017" cy="3763736"/>
            </a:xfrm>
            <a:solidFill>
              <a:srgbClr val="FFFFFF"/>
            </a:solidFill>
          </xdr:grpSpPr>
          <xdr:grpSp>
            <xdr:nvGrpSpPr>
              <xdr:cNvPr id="80" name="Группа 467"/>
              <xdr:cNvGrpSpPr>
                <a:grpSpLocks/>
              </xdr:cNvGrpSpPr>
            </xdr:nvGrpSpPr>
            <xdr:grpSpPr>
              <a:xfrm>
                <a:off x="2978604" y="4604657"/>
                <a:ext cx="8797017" cy="3763736"/>
                <a:chOff x="2752725" y="5457825"/>
                <a:chExt cx="8867775" cy="3686175"/>
              </a:xfrm>
              <a:solidFill>
                <a:srgbClr val="FFFFFF"/>
              </a:solidFill>
            </xdr:grpSpPr>
            <xdr:grpSp>
              <xdr:nvGrpSpPr>
                <xdr:cNvPr id="81" name="Группа 465"/>
                <xdr:cNvGrpSpPr>
                  <a:grpSpLocks/>
                </xdr:cNvGrpSpPr>
              </xdr:nvGrpSpPr>
              <xdr:grpSpPr>
                <a:xfrm>
                  <a:off x="2752725" y="5457825"/>
                  <a:ext cx="8867775" cy="3686175"/>
                  <a:chOff x="2752725" y="5457825"/>
                  <a:chExt cx="8867775" cy="3686175"/>
                </a:xfrm>
                <a:solidFill>
                  <a:srgbClr val="FFFFFF"/>
                </a:solidFill>
              </xdr:grpSpPr>
              <xdr:grpSp>
                <xdr:nvGrpSpPr>
                  <xdr:cNvPr id="82" name="Группа 462"/>
                  <xdr:cNvGrpSpPr>
                    <a:grpSpLocks/>
                  </xdr:cNvGrpSpPr>
                </xdr:nvGrpSpPr>
                <xdr:grpSpPr>
                  <a:xfrm>
                    <a:off x="2752725" y="5457825"/>
                    <a:ext cx="8867775" cy="3686175"/>
                    <a:chOff x="2752725" y="5457825"/>
                    <a:chExt cx="8867775" cy="3686175"/>
                  </a:xfrm>
                  <a:solidFill>
                    <a:srgbClr val="FFFFFF"/>
                  </a:solidFill>
                </xdr:grpSpPr>
                <xdr:grpSp>
                  <xdr:nvGrpSpPr>
                    <xdr:cNvPr id="83" name="Группа 455"/>
                    <xdr:cNvGrpSpPr>
                      <a:grpSpLocks/>
                    </xdr:cNvGrpSpPr>
                  </xdr:nvGrpSpPr>
                  <xdr:grpSpPr>
                    <a:xfrm>
                      <a:off x="2752725" y="5457825"/>
                      <a:ext cx="8867775" cy="3686175"/>
                      <a:chOff x="3038475" y="6010275"/>
                      <a:chExt cx="8867775" cy="3686175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84" name="Группа 452"/>
                      <xdr:cNvGrpSpPr>
                        <a:grpSpLocks/>
                      </xdr:cNvGrpSpPr>
                    </xdr:nvGrpSpPr>
                    <xdr:grpSpPr>
                      <a:xfrm>
                        <a:off x="3038475" y="6010275"/>
                        <a:ext cx="8867775" cy="3686175"/>
                        <a:chOff x="3038475" y="6010275"/>
                        <a:chExt cx="8867775" cy="3686175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85" name="Группа 146"/>
                        <xdr:cNvGrpSpPr>
                          <a:grpSpLocks/>
                        </xdr:cNvGrpSpPr>
                      </xdr:nvGrpSpPr>
                      <xdr:grpSpPr>
                        <a:xfrm>
                          <a:off x="3038475" y="6010275"/>
                          <a:ext cx="8867775" cy="3686175"/>
                          <a:chOff x="3038475" y="6010275"/>
                          <a:chExt cx="8867775" cy="3686175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86" name="Прямоугольник 73"/>
                          <xdr:cNvSpPr>
                            <a:spLocks/>
                          </xdr:cNvSpPr>
                        </xdr:nvSpPr>
                        <xdr:spPr>
                          <a:xfrm>
                            <a:off x="3038475" y="6105194"/>
                            <a:ext cx="7830245" cy="3591256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25400" cmpd="sng">
                            <a:solidFill>
                              <a:srgbClr val="385D8A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Times New Roman"/>
                                <a:ea typeface="Times New Roman"/>
                                <a:cs typeface="Times New Roman"/>
                              </a:rPr>
                              <a:t/>
                            </a:r>
                          </a:p>
                        </xdr:txBody>
                      </xdr:sp>
                      <xdr:grpSp>
                        <xdr:nvGrpSpPr>
                          <xdr:cNvPr id="87" name="Группа 79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209180" y="6010275"/>
                            <a:ext cx="8697070" cy="3629039"/>
                            <a:chOff x="3143250" y="1066800"/>
                            <a:chExt cx="8696325" cy="3629025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88" name="Группа 77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3143250" y="1066800"/>
                              <a:ext cx="8696325" cy="3629025"/>
                              <a:chOff x="3143250" y="1066800"/>
                              <a:chExt cx="8696325" cy="3629025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89" name="Группа 73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3143250" y="1066800"/>
                                <a:ext cx="8696325" cy="3629025"/>
                                <a:chOff x="3143250" y="1066800"/>
                                <a:chExt cx="8696325" cy="3629025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90" name="Группа 71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3143250" y="1066800"/>
                                  <a:ext cx="8696325" cy="3629025"/>
                                  <a:chOff x="3143250" y="1066800"/>
                                  <a:chExt cx="8696325" cy="3629025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91" name="Группа 65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3143250" y="1066800"/>
                                    <a:ext cx="8696325" cy="3629025"/>
                                    <a:chOff x="3143250" y="1066800"/>
                                    <a:chExt cx="8696325" cy="3629025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92" name="Группа 63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3143250" y="1228292"/>
                                      <a:ext cx="7439706" cy="3467533"/>
                                      <a:chOff x="3143250" y="1228725"/>
                                      <a:chExt cx="7439025" cy="3467100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sp>
                                    <xdr:nvSpPr>
                                      <xdr:cNvPr id="93" name="Прямая со стрелкой 97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3771848" y="3143431"/>
                                        <a:ext cx="6810427" cy="0"/>
                                      </a:xfrm>
                                      <a:prstGeom prst="straightConnector1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BE4B48"/>
                                        </a:solidFill>
                                        <a:headEnd type="none"/>
                                        <a:tailEnd type="arrow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grpSp>
                                    <xdr:nvGrpSpPr>
                                      <xdr:cNvPr id="94" name="Группа 57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3143250" y="1428950"/>
                                        <a:ext cx="7173080" cy="3266875"/>
                                        <a:chOff x="3143250" y="1428750"/>
                                        <a:chExt cx="7172325" cy="3267075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sp>
                                      <xdr:nvSpPr>
                                        <xdr:cNvPr id="95" name="TextBox 98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>
                                          <a:off x="3143250" y="2791120"/>
                                          <a:ext cx="1447017" cy="533350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2400" b="0" i="0" u="none" baseline="0">
                                              <a:solidFill>
                                                <a:srgbClr val="000000"/>
                                              </a:solidFill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>O</a:t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96" name="TextBox 99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>
                                          <a:off x="5009848" y="1428750"/>
                                          <a:ext cx="1447017" cy="533350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2400" b="0" i="0" u="none" baseline="0">
                                              <a:solidFill>
                                                <a:srgbClr val="000000"/>
                                              </a:solidFill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>A</a:t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97" name="TextBox 100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>
                                          <a:off x="6847756" y="2381102"/>
                                          <a:ext cx="1447017" cy="533350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2400" b="0" i="0" u="none" baseline="0">
                                              <a:solidFill>
                                                <a:srgbClr val="000000"/>
                                              </a:solidFill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>D</a:t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98" name="TextBox 101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>
                                          <a:off x="8868558" y="1714619"/>
                                          <a:ext cx="1447017" cy="533350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2400" b="0" i="0" u="none" baseline="0">
                                              <a:solidFill>
                                                <a:srgbClr val="000000"/>
                                              </a:solidFill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>E</a:t>
                                          </a:r>
                                        </a:p>
                                      </xdr:txBody>
                                    </xdr:sp>
                                    <xdr:grpSp>
                                      <xdr:nvGrpSpPr>
                                        <xdr:cNvPr id="99" name="Группа 56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3218559" y="1628858"/>
                                          <a:ext cx="6505299" cy="3066967"/>
                                          <a:chOff x="3219450" y="1628775"/>
                                          <a:chExt cx="6505575" cy="3067050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100" name="Группа 51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3219450" y="1628775"/>
                                            <a:ext cx="6505575" cy="3067050"/>
                                            <a:chOff x="3476624" y="1629451"/>
                                            <a:chExt cx="6504302" cy="3069544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101" name="Прямая соединительная линия 106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 flipV="1">
                                              <a:off x="7161311" y="2077604"/>
                                              <a:ext cx="2819615" cy="1010647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noFill/>
                                            <a:ln w="2857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 lIns="91440" tIns="45720" rIns="91440" bIns="4572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Times New Roman"/>
                                                  <a:ea typeface="Times New Roman"/>
                                                  <a:cs typeface="Times New Roman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102" name="Прямоугольник 107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 rot="20192166">
                                              <a:off x="8980890" y="2125182"/>
                                              <a:ext cx="666691" cy="371415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254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Times New Roman"/>
                                                  <a:ea typeface="Times New Roman"/>
                                                  <a:cs typeface="Times New Roman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103" name="Группа 16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8858934" y="2228779"/>
                                              <a:ext cx="1113862" cy="694484"/>
                                              <a:chOff x="5915024" y="2514600"/>
                                              <a:chExt cx="1113451" cy="694350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04" name="Группа 6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5915024" y="2514600"/>
                                                <a:ext cx="950330" cy="504792"/>
                                                <a:chOff x="4229099" y="2381250"/>
                                                <a:chExt cx="950400" cy="504825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105" name="Группа 3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4438662" y="2381250"/>
                                                  <a:ext cx="476150" cy="495360"/>
                                                  <a:chOff x="5048250" y="2990850"/>
                                                  <a:chExt cx="476250" cy="495300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sp>
                                                <xdr:nvSpPr>
                                                  <xdr:cNvPr id="106" name="Равнобедренный треугольник 2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5048250" y="3077775"/>
                                                    <a:ext cx="476131" cy="409861"/>
                                                  </a:xfrm>
                                                  <a:prstGeom prst="triangl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254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Times New Roman"/>
                                                        <a:ea typeface="Times New Roman"/>
                                                        <a:cs typeface="Times New Roman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  <xdr:sp>
                                                <xdr:nvSpPr>
                                                  <xdr:cNvPr id="107" name="Овал 1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5199578" y="2991964"/>
                                                    <a:ext cx="180975" cy="181156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254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Times New Roman"/>
                                                        <a:ea typeface="Times New Roman"/>
                                                        <a:cs typeface="Times New Roman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108" name="Прямая соединительная линия 2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H="1" flipV="1">
                                                  <a:off x="4229099" y="2887589"/>
                                                  <a:ext cx="952301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90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Times New Roman"/>
                                                      <a:ea typeface="Times New Roman"/>
                                                      <a:cs typeface="Times New Roman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109" name="Прямая соединительная линия 18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5915024" y="3020955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110" name="Прямая соединительная линия 19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104311" y="3020955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111" name="Прямая соединительная линия 20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313918" y="3020955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112" name="Прямая соединительная линия 21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847261" y="3020955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113" name="Прямая соединительная линия 22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675789" y="3030502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114" name="Прямая соединительная линия 23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494854" y="3020955"/>
                                                <a:ext cx="180936" cy="18105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grpSp>
                                          <xdr:nvGrpSpPr>
                                            <xdr:cNvPr id="115" name="Группа 47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3476624" y="1629451"/>
                                              <a:ext cx="3780626" cy="3069544"/>
                                              <a:chOff x="3476624" y="1629451"/>
                                              <a:chExt cx="3780685" cy="3069544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116" name="Группа 41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3476624" y="1629451"/>
                                                <a:ext cx="3780685" cy="3060335"/>
                                                <a:chOff x="3476624" y="1629451"/>
                                                <a:chExt cx="3780685" cy="3060011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117" name="Прямая соединительная линия 11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H="1">
                                                  <a:off x="7076781" y="1629451"/>
                                                  <a:ext cx="0" cy="3060011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90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Times New Roman"/>
                                                      <a:ea typeface="Times New Roman"/>
                                                      <a:cs typeface="Times New Roman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118" name="Прямоугольник 116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895308" y="2792255"/>
                                                  <a:ext cx="362001" cy="667082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solidFill>
                                                  <a:srgbClr val="FFFFFF"/>
                                                </a:solidFill>
                                                <a:ln w="254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Times New Roman"/>
                                                      <a:ea typeface="Times New Roman"/>
                                                      <a:cs typeface="Times New Roman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grpSp>
                                              <xdr:nvGrpSpPr>
                                                <xdr:cNvPr id="119" name="Группа 37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3476624" y="1868132"/>
                                                  <a:ext cx="3685223" cy="1855897"/>
                                                  <a:chOff x="3476624" y="1867769"/>
                                                  <a:chExt cx="3685456" cy="1855531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sp>
                                                <xdr:nvSpPr>
                                                  <xdr:cNvPr id="120" name="Овал 118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6981493" y="3011704"/>
                                                    <a:ext cx="180587" cy="180914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254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Times New Roman"/>
                                                        <a:ea typeface="Times New Roman"/>
                                                        <a:cs typeface="Times New Roman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  <xdr:grpSp>
                                                <xdr:nvGrpSpPr>
                                                  <xdr:cNvPr id="121" name="Группа 32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3476624" y="1867769"/>
                                                    <a:ext cx="2095182" cy="1855531"/>
                                                    <a:chOff x="3476624" y="1867769"/>
                                                    <a:chExt cx="2095091" cy="1855531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sp>
                                                  <xdr:nvSpPr>
                                                    <xdr:cNvPr id="122" name="Прямая соединительная линия 121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 flipH="1">
                                                      <a:off x="3943306" y="1972607"/>
                                                      <a:ext cx="1523655" cy="1105896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noFill/>
                                                    <a:ln w="2857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91440" tIns="45720" rIns="91440" bIns="4572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Times New Roman"/>
                                                          <a:ea typeface="Times New Roman"/>
                                                          <a:cs typeface="Times New Roman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123" name="Овал 28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5391013" y="1867769"/>
                                                      <a:ext cx="180702" cy="180914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FFFF"/>
                                                    </a:solidFill>
                                                    <a:ln w="25400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Times New Roman"/>
                                                          <a:ea typeface="Times New Roman"/>
                                                          <a:cs typeface="Times New Roman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grpSp>
                                                  <xdr:nvGrpSpPr>
                                                    <xdr:cNvPr id="124" name="Группа 15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3476624" y="3028868"/>
                                                      <a:ext cx="1113541" cy="694432"/>
                                                      <a:chOff x="5915024" y="2514600"/>
                                                      <a:chExt cx="1113451" cy="694350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125" name="Группа 6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5915024" y="2514600"/>
                                                        <a:ext cx="950330" cy="504792"/>
                                                        <a:chOff x="4229099" y="2381250"/>
                                                        <a:chExt cx="950400" cy="504825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126" name="Группа 3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4438662" y="2381250"/>
                                                          <a:ext cx="476150" cy="495360"/>
                                                          <a:chOff x="5048250" y="2990850"/>
                                                          <a:chExt cx="476250" cy="495300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sp>
                                                        <xdr:nvSpPr>
                                                          <xdr:cNvPr id="127" name="Равнобедренный треугольник 2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5048250" y="3078518"/>
                                                            <a:ext cx="476131" cy="409861"/>
                                                          </a:xfrm>
                                                          <a:prstGeom prst="triangl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25400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Times New Roman"/>
                                                                <a:ea typeface="Times New Roman"/>
                                                                <a:cs typeface="Times New Roman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  <xdr:sp>
                                                        <xdr:nvSpPr>
                                                          <xdr:cNvPr id="128" name="Овал 1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5200531" y="2992707"/>
                                                            <a:ext cx="180975" cy="181156"/>
                                                          </a:xfrm>
                                                          <a:prstGeom prst="ellips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25400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Times New Roman"/>
                                                                <a:ea typeface="Times New Roman"/>
                                                                <a:cs typeface="Times New Roman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sp>
                                                      <xdr:nvSpPr>
                                                        <xdr:cNvPr id="129" name="Прямая соединительная линия 5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 flipH="1" flipV="1">
                                                          <a:off x="4229099" y="2888347"/>
                                                          <a:ext cx="952301" cy="0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noFill/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 lIns="91440" tIns="45720" rIns="91440" bIns="45720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Times New Roman"/>
                                                              <a:ea typeface="Times New Roman"/>
                                                              <a:cs typeface="Times New Roman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130" name="Прямая соединительная линия 125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5915024" y="3021649"/>
                                                        <a:ext cx="180936" cy="18105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131" name="Прямая соединительная линия 126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105424" y="3021649"/>
                                                        <a:ext cx="180936" cy="18105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132" name="Прямая соединительная линия 127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315031" y="3021649"/>
                                                        <a:ext cx="180936" cy="18105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133" name="Прямая соединительная линия 128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848374" y="3021649"/>
                                                        <a:ext cx="180936" cy="18105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134" name="Прямая соединительная линия 13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676903" y="3031196"/>
                                                        <a:ext cx="180936" cy="18105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135" name="Прямая соединительная линия 1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495967" y="3021649"/>
                                                        <a:ext cx="180936" cy="18105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</xdr:grpSp>
                                            </xdr:grpSp>
                                          </xdr:grpSp>
                                          <xdr:sp>
                                            <xdr:nvSpPr>
                                              <xdr:cNvPr id="136" name="Прямая соединительная линия 111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7086233" y="4336789"/>
                                                <a:ext cx="152173" cy="19031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137" name="Прямая соединительная линия 112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7086233" y="4164894"/>
                                                <a:ext cx="152173" cy="19031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138" name="Прямая соединительная линия 113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7076781" y="4508683"/>
                                                <a:ext cx="152173" cy="19031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139" name="Прямая соединительная линия 114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7066384" y="4022161"/>
                                                <a:ext cx="152173" cy="190312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</xdr:grpSp>
                                      <xdr:sp>
                                        <xdr:nvSpPr>
                                          <xdr:cNvPr id="140" name="TextBox 104"/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>
                                          <a:xfrm>
                                            <a:off x="3819589" y="1781361"/>
                                            <a:ext cx="1447490" cy="533667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sz="2400" b="1" i="0" u="non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imes New Roman"/>
                                                <a:ea typeface="Times New Roman"/>
                                                <a:cs typeface="Times New Roman"/>
                                              </a:rPr>
                                              <a:t>L1</a:t>
                                            </a:r>
                                          </a:p>
                                        </xdr:txBody>
                                      </xdr:sp>
                                      <xdr:sp>
                                        <xdr:nvSpPr>
                                          <xdr:cNvPr id="141" name="TextBox 105"/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>
                                          <a:xfrm>
                                            <a:off x="5514292" y="2600263"/>
                                            <a:ext cx="1447490" cy="523699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sz="2400" b="1" i="0" u="non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imes New Roman"/>
                                                <a:ea typeface="Times New Roman"/>
                                                <a:cs typeface="Times New Roman"/>
                                              </a:rPr>
                                              <a:t>L2</a:t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</xdr:grpSp>
                                  <xdr:sp>
                                    <xdr:nvSpPr>
                                      <xdr:cNvPr id="142" name="Прямая со стрелкой 96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flipV="1">
                                        <a:off x="3667701" y="1228725"/>
                                        <a:ext cx="0" cy="1800292"/>
                                      </a:xfrm>
                                      <a:prstGeom prst="straightConnector1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BE4B48"/>
                                        </a:solidFill>
                                        <a:headEnd type="none"/>
                                        <a:tailEnd type="arrow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143" name="TextBox 93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0391637" y="3067300"/>
                                      <a:ext cx="1447938" cy="53346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2400" b="0" i="1" u="none" baseline="0">
                                          <a:solidFill>
                                            <a:srgbClr val="000000"/>
                                          </a:solidFill>
                                          <a:latin typeface="Times New Roman"/>
                                          <a:ea typeface="Times New Roman"/>
                                          <a:cs typeface="Times New Roman"/>
                                        </a:rPr>
                                        <a:t>х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144" name="TextBox 94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3323699" y="1066800"/>
                                      <a:ext cx="1447938" cy="53346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2400" b="0" i="1" u="none" baseline="0">
                                          <a:solidFill>
                                            <a:srgbClr val="000000"/>
                                          </a:solidFill>
                                          <a:latin typeface="Times New Roman"/>
                                          <a:ea typeface="Times New Roman"/>
                                          <a:cs typeface="Times New Roman"/>
                                        </a:rPr>
                                        <a:t>у</a:t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145" name="Прямая соединительная линия 90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H="1">
                                    <a:off x="3667204" y="3209739"/>
                                    <a:ext cx="0" cy="771168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 lIns="91440" tIns="45720" rIns="91440" bIns="45720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Times New Roman"/>
                                        <a:ea typeface="Times New Roman"/>
                                        <a:cs typeface="Times New Roman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sp>
                              <xdr:nvSpPr>
                                <xdr:cNvPr id="146" name="Прямая соединительная линия 85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5934770" y="2514781"/>
                                  <a:ext cx="723969" cy="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 lIns="91440" tIns="45720" rIns="91440" bIns="45720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Times New Roman"/>
                                      <a:ea typeface="Times New Roman"/>
                                      <a:cs typeface="Times New Roman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147" name="TextBox 81"/>
                              <xdr:cNvSpPr txBox="1">
                                <a:spLocks noChangeArrowheads="1"/>
                              </xdr:cNvSpPr>
                            </xdr:nvSpPr>
                            <xdr:spPr>
                              <a:xfrm>
                                <a:off x="5915204" y="1981314"/>
                                <a:ext cx="439164" cy="533467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800" b="0" i="0" u="none" baseline="0">
                                    <a:solidFill>
                                      <a:srgbClr val="000000"/>
                                    </a:solidFill>
                                    <a:latin typeface="Times New Roman"/>
                                    <a:ea typeface="Times New Roman"/>
                                    <a:cs typeface="Times New Roman"/>
                                  </a:rPr>
                                  <a:t>ψ</a:t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148" name="Полилиния 79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5695621" y="2267100"/>
                              <a:ext cx="591350" cy="228629"/>
                            </a:xfrm>
                            <a:custGeom>
                              <a:pathLst>
                                <a:path h="233362" w="590550">
                                  <a:moveTo>
                                    <a:pt x="0" y="71437"/>
                                  </a:moveTo>
                                  <a:cubicBezTo>
                                    <a:pt x="42069" y="48418"/>
                                    <a:pt x="84138" y="25400"/>
                                    <a:pt x="123825" y="14287"/>
                                  </a:cubicBezTo>
                                  <a:cubicBezTo>
                                    <a:pt x="163513" y="3175"/>
                                    <a:pt x="193675" y="0"/>
                                    <a:pt x="238125" y="4762"/>
                                  </a:cubicBezTo>
                                  <a:cubicBezTo>
                                    <a:pt x="282575" y="9525"/>
                                    <a:pt x="341313" y="20637"/>
                                    <a:pt x="390525" y="42862"/>
                                  </a:cubicBezTo>
                                  <a:cubicBezTo>
                                    <a:pt x="439737" y="65087"/>
                                    <a:pt x="500063" y="106362"/>
                                    <a:pt x="533400" y="138112"/>
                                  </a:cubicBezTo>
                                  <a:cubicBezTo>
                                    <a:pt x="566737" y="169862"/>
                                    <a:pt x="578643" y="201612"/>
                                    <a:pt x="590550" y="233362"/>
                                  </a:cubicBezTo>
                                </a:path>
                              </a:pathLst>
                            </a:cu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Times New Roman"/>
                                  <a:ea typeface="Times New Roman"/>
                                  <a:cs typeface="Times New Roman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  <xdr:sp>
                      <xdr:nvSpPr>
                        <xdr:cNvPr id="149" name="Полилиния 451"/>
                        <xdr:cNvSpPr>
                          <a:spLocks/>
                        </xdr:cNvSpPr>
                      </xdr:nvSpPr>
                      <xdr:spPr>
                        <a:xfrm>
                          <a:off x="4047184" y="7829402"/>
                          <a:ext cx="104196" cy="237758"/>
                        </a:xfrm>
                        <a:custGeom>
                          <a:pathLst>
                            <a:path h="238125" w="101600">
                              <a:moveTo>
                                <a:pt x="0" y="0"/>
                              </a:moveTo>
                              <a:cubicBezTo>
                                <a:pt x="20637" y="23019"/>
                                <a:pt x="41275" y="46038"/>
                                <a:pt x="57150" y="76200"/>
                              </a:cubicBezTo>
                              <a:cubicBezTo>
                                <a:pt x="73025" y="106362"/>
                                <a:pt x="88900" y="153988"/>
                                <a:pt x="95250" y="180975"/>
                              </a:cubicBezTo>
                              <a:cubicBezTo>
                                <a:pt x="101600" y="207962"/>
                                <a:pt x="95250" y="238125"/>
                                <a:pt x="95250" y="238125"/>
                              </a:cubicBezTo>
                              <a:lnTo>
                                <a:pt x="95250" y="238125"/>
                              </a:lnTo>
                              <a:lnTo>
                                <a:pt x="76200" y="228600"/>
                              </a:lnTo>
                            </a:path>
                          </a:pathLst>
                        </a:cu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Times New Roman"/>
                              <a:ea typeface="Times New Roman"/>
                              <a:cs typeface="Times New Roman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150" name="Прямая со стрелкой 453"/>
                      <xdr:cNvSpPr>
                        <a:spLocks/>
                      </xdr:cNvSpPr>
                    </xdr:nvSpPr>
                    <xdr:spPr>
                      <a:xfrm flipV="1">
                        <a:off x="3743463" y="8877198"/>
                        <a:ext cx="3152494" cy="0"/>
                      </a:xfrm>
                      <a:prstGeom prst="straightConnector1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triangle"/>
                        <a:tailEnd type="triangl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Times New Roman"/>
                            <a:ea typeface="Times New Roman"/>
                            <a:cs typeface="Times New Roman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51" name="TextBox 454"/>
                      <xdr:cNvSpPr txBox="1">
                        <a:spLocks noChangeArrowheads="1"/>
                      </xdr:cNvSpPr>
                    </xdr:nvSpPr>
                    <xdr:spPr>
                      <a:xfrm>
                        <a:off x="5029290" y="8505815"/>
                        <a:ext cx="1447664" cy="533574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sz="1800" b="0" i="0" u="none" baseline="0">
                            <a:solidFill>
                              <a:srgbClr val="000000"/>
                            </a:solidFill>
                            <a:latin typeface="Times New Roman"/>
                            <a:ea typeface="Times New Roman"/>
                            <a:cs typeface="Times New Roman"/>
                          </a:rPr>
                          <a:t>a</a:t>
                        </a:r>
                      </a:p>
                    </xdr:txBody>
                  </xdr:sp>
                </xdr:grpSp>
                <xdr:sp>
                  <xdr:nvSpPr>
                    <xdr:cNvPr id="152" name="Прямая соединительная линия 457"/>
                    <xdr:cNvSpPr>
                      <a:spLocks/>
                    </xdr:cNvSpPr>
                  </xdr:nvSpPr>
                  <xdr:spPr>
                    <a:xfrm flipH="1" flipV="1">
                      <a:off x="5067214" y="6410701"/>
                      <a:ext cx="1438796" cy="1076363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imes New Roman"/>
                          <a:ea typeface="Times New Roman"/>
                          <a:cs typeface="Times New Roman"/>
                        </a:rPr>
                        <a:t/>
                      </a:r>
                    </a:p>
                  </xdr:txBody>
                </xdr:sp>
                <xdr:sp>
                  <xdr:nvSpPr>
                    <xdr:cNvPr id="153" name="TextBox 460"/>
                    <xdr:cNvSpPr txBox="1">
                      <a:spLocks noChangeArrowheads="1"/>
                    </xdr:cNvSpPr>
                  </xdr:nvSpPr>
                  <xdr:spPr>
                    <a:xfrm>
                      <a:off x="3839027" y="7143329"/>
                      <a:ext cx="1447664" cy="533574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800" b="0" i="0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φ</a:t>
                      </a:r>
                    </a:p>
                  </xdr:txBody>
                </xdr:sp>
              </xdr:grpSp>
              <xdr:sp>
                <xdr:nvSpPr>
                  <xdr:cNvPr id="154" name="Полилиния 463"/>
                  <xdr:cNvSpPr>
                    <a:spLocks/>
                  </xdr:cNvSpPr>
                </xdr:nvSpPr>
                <xdr:spPr>
                  <a:xfrm>
                    <a:off x="7248687" y="7305520"/>
                    <a:ext cx="104196" cy="219327"/>
                  </a:xfrm>
                  <a:custGeom>
                    <a:pathLst>
                      <a:path h="219075" w="107950">
                        <a:moveTo>
                          <a:pt x="0" y="0"/>
                        </a:moveTo>
                        <a:cubicBezTo>
                          <a:pt x="29369" y="30956"/>
                          <a:pt x="58738" y="61913"/>
                          <a:pt x="76200" y="95250"/>
                        </a:cubicBezTo>
                        <a:cubicBezTo>
                          <a:pt x="93662" y="128587"/>
                          <a:pt x="101600" y="180975"/>
                          <a:pt x="104775" y="200025"/>
                        </a:cubicBezTo>
                        <a:cubicBezTo>
                          <a:pt x="107950" y="219075"/>
                          <a:pt x="95250" y="209550"/>
                          <a:pt x="95250" y="209550"/>
                        </a:cubicBezTo>
                        <a:lnTo>
                          <a:pt x="104775" y="200025"/>
                        </a:lnTo>
                        <a:lnTo>
                          <a:pt x="104775" y="200025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155" name="TextBox 464"/>
                  <xdr:cNvSpPr txBox="1">
                    <a:spLocks noChangeArrowheads="1"/>
                  </xdr:cNvSpPr>
                </xdr:nvSpPr>
                <xdr:spPr>
                  <a:xfrm>
                    <a:off x="7419392" y="7162681"/>
                    <a:ext cx="1447664" cy="53357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µ</a:t>
                    </a:r>
                  </a:p>
                </xdr:txBody>
              </xdr:sp>
            </xdr:grpSp>
            <xdr:sp>
              <xdr:nvSpPr>
                <xdr:cNvPr id="156" name="TextBox 466"/>
                <xdr:cNvSpPr txBox="1">
                  <a:spLocks noChangeArrowheads="1"/>
                </xdr:cNvSpPr>
              </xdr:nvSpPr>
              <xdr:spPr>
                <a:xfrm>
                  <a:off x="7381704" y="6639244"/>
                  <a:ext cx="1447664" cy="53357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24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L</a:t>
                  </a:r>
                  <a:r>
                    <a:rPr lang="en-US" cap="none" sz="24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4
</a:t>
                  </a:r>
                </a:p>
              </xdr:txBody>
            </xdr:sp>
          </xdr:grpSp>
          <xdr:sp>
            <xdr:nvSpPr>
              <xdr:cNvPr id="157" name="TextBox 152"/>
              <xdr:cNvSpPr txBox="1">
                <a:spLocks noChangeArrowheads="1"/>
              </xdr:cNvSpPr>
            </xdr:nvSpPr>
            <xdr:spPr>
              <a:xfrm>
                <a:off x="9281667" y="5178627"/>
                <a:ext cx="1436113" cy="54480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</a:t>
                </a:r>
              </a:p>
            </xdr:txBody>
          </xdr:sp>
        </xdr:grpSp>
        <xdr:sp>
          <xdr:nvSpPr>
            <xdr:cNvPr id="158" name="TextBox 157"/>
            <xdr:cNvSpPr txBox="1">
              <a:spLocks noChangeArrowheads="1"/>
            </xdr:cNvSpPr>
          </xdr:nvSpPr>
          <xdr:spPr>
            <a:xfrm>
              <a:off x="3260867" y="5559470"/>
              <a:ext cx="679570" cy="5455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1</a:t>
              </a:r>
            </a:p>
          </xdr:txBody>
        </xdr:sp>
        <xdr:sp>
          <xdr:nvSpPr>
            <xdr:cNvPr id="159" name="TextBox 158"/>
            <xdr:cNvSpPr txBox="1">
              <a:spLocks noChangeArrowheads="1"/>
            </xdr:cNvSpPr>
          </xdr:nvSpPr>
          <xdr:spPr>
            <a:xfrm>
              <a:off x="5699840" y="4897037"/>
              <a:ext cx="679570" cy="5455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2</a:t>
              </a:r>
            </a:p>
          </xdr:txBody>
        </xdr:sp>
        <xdr:sp>
          <xdr:nvSpPr>
            <xdr:cNvPr id="160" name="TextBox 159"/>
            <xdr:cNvSpPr txBox="1">
              <a:spLocks noChangeArrowheads="1"/>
            </xdr:cNvSpPr>
          </xdr:nvSpPr>
          <xdr:spPr>
            <a:xfrm>
              <a:off x="7173340" y="6981393"/>
              <a:ext cx="670773" cy="5455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3</a:t>
              </a:r>
            </a:p>
          </xdr:txBody>
        </xdr:sp>
        <xdr:sp>
          <xdr:nvSpPr>
            <xdr:cNvPr id="161" name="TextBox 160"/>
            <xdr:cNvSpPr txBox="1">
              <a:spLocks noChangeArrowheads="1"/>
            </xdr:cNvSpPr>
          </xdr:nvSpPr>
          <xdr:spPr>
            <a:xfrm>
              <a:off x="7333886" y="5044035"/>
              <a:ext cx="679570" cy="5455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4</a:t>
              </a:r>
            </a:p>
          </xdr:txBody>
        </xdr:sp>
        <xdr:sp>
          <xdr:nvSpPr>
            <xdr:cNvPr id="162" name="TextBox 161"/>
            <xdr:cNvSpPr txBox="1">
              <a:spLocks noChangeArrowheads="1"/>
            </xdr:cNvSpPr>
          </xdr:nvSpPr>
          <xdr:spPr>
            <a:xfrm>
              <a:off x="9678291" y="5637681"/>
              <a:ext cx="679570" cy="54558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5</a:t>
              </a:r>
            </a:p>
          </xdr:txBody>
        </xdr:sp>
      </xdr:grpSp>
      <xdr:sp>
        <xdr:nvSpPr>
          <xdr:cNvPr id="163" name="Прямая соединительная линия 164"/>
          <xdr:cNvSpPr>
            <a:spLocks/>
          </xdr:cNvSpPr>
        </xdr:nvSpPr>
        <xdr:spPr>
          <a:xfrm flipV="1">
            <a:off x="3478593" y="5803525"/>
            <a:ext cx="945679" cy="38634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4" name="Прямая соединительная линия 166"/>
          <xdr:cNvSpPr>
            <a:spLocks/>
          </xdr:cNvSpPr>
        </xdr:nvSpPr>
        <xdr:spPr>
          <a:xfrm flipH="1">
            <a:off x="5510704" y="5277724"/>
            <a:ext cx="321091" cy="233689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5" name="Прямая соединительная линия 169"/>
          <xdr:cNvSpPr>
            <a:spLocks/>
          </xdr:cNvSpPr>
        </xdr:nvSpPr>
        <xdr:spPr>
          <a:xfrm flipH="1" flipV="1">
            <a:off x="6955614" y="6718493"/>
            <a:ext cx="301298" cy="408956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6" name="Прямая соединительная линия 171"/>
          <xdr:cNvSpPr>
            <a:spLocks/>
          </xdr:cNvSpPr>
        </xdr:nvSpPr>
        <xdr:spPr>
          <a:xfrm flipH="1">
            <a:off x="7437251" y="5442626"/>
            <a:ext cx="37387" cy="750067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7" name="Прямая соединительная линия 173"/>
          <xdr:cNvSpPr>
            <a:spLocks/>
          </xdr:cNvSpPr>
        </xdr:nvSpPr>
        <xdr:spPr>
          <a:xfrm flipH="1" flipV="1">
            <a:off x="9346204" y="5725314"/>
            <a:ext cx="435452" cy="146056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190500</xdr:rowOff>
    </xdr:from>
    <xdr:to>
      <xdr:col>26</xdr:col>
      <xdr:colOff>342900</xdr:colOff>
      <xdr:row>19</xdr:row>
      <xdr:rowOff>38100</xdr:rowOff>
    </xdr:to>
    <xdr:grpSp>
      <xdr:nvGrpSpPr>
        <xdr:cNvPr id="1" name="Группа 80"/>
        <xdr:cNvGrpSpPr>
          <a:grpSpLocks/>
        </xdr:cNvGrpSpPr>
      </xdr:nvGrpSpPr>
      <xdr:grpSpPr>
        <a:xfrm>
          <a:off x="8048625" y="190500"/>
          <a:ext cx="8972550" cy="3762375"/>
          <a:chOff x="2930979" y="4391024"/>
          <a:chExt cx="8797017" cy="3780283"/>
        </a:xfrm>
        <a:solidFill>
          <a:srgbClr val="FFFFFF"/>
        </a:solidFill>
      </xdr:grpSpPr>
      <xdr:grpSp>
        <xdr:nvGrpSpPr>
          <xdr:cNvPr id="2" name="Группа 162"/>
          <xdr:cNvGrpSpPr>
            <a:grpSpLocks/>
          </xdr:cNvGrpSpPr>
        </xdr:nvGrpSpPr>
        <xdr:grpSpPr>
          <a:xfrm>
            <a:off x="2930979" y="4391024"/>
            <a:ext cx="8797017" cy="3780283"/>
            <a:chOff x="2930979" y="4391024"/>
            <a:chExt cx="8797017" cy="3780283"/>
          </a:xfrm>
          <a:solidFill>
            <a:srgbClr val="FFFFFF"/>
          </a:solidFill>
        </xdr:grpSpPr>
        <xdr:grpSp>
          <xdr:nvGrpSpPr>
            <xdr:cNvPr id="3" name="Группа 153"/>
            <xdr:cNvGrpSpPr>
              <a:grpSpLocks/>
            </xdr:cNvGrpSpPr>
          </xdr:nvGrpSpPr>
          <xdr:grpSpPr>
            <a:xfrm>
              <a:off x="2930979" y="4391024"/>
              <a:ext cx="8797017" cy="3780283"/>
              <a:chOff x="2978604" y="4604656"/>
              <a:chExt cx="8797017" cy="3774824"/>
            </a:xfrm>
            <a:solidFill>
              <a:srgbClr val="FFFFFF"/>
            </a:solidFill>
          </xdr:grpSpPr>
          <xdr:grpSp>
            <xdr:nvGrpSpPr>
              <xdr:cNvPr id="4" name="Группа 467"/>
              <xdr:cNvGrpSpPr>
                <a:grpSpLocks/>
              </xdr:cNvGrpSpPr>
            </xdr:nvGrpSpPr>
            <xdr:grpSpPr>
              <a:xfrm>
                <a:off x="2978604" y="4604656"/>
                <a:ext cx="8797017" cy="3774824"/>
                <a:chOff x="2752725" y="5457825"/>
                <a:chExt cx="8867775" cy="3697035"/>
              </a:xfrm>
              <a:solidFill>
                <a:srgbClr val="FFFFFF"/>
              </a:solidFill>
            </xdr:grpSpPr>
            <xdr:grpSp>
              <xdr:nvGrpSpPr>
                <xdr:cNvPr id="5" name="Группа 465"/>
                <xdr:cNvGrpSpPr>
                  <a:grpSpLocks/>
                </xdr:cNvGrpSpPr>
              </xdr:nvGrpSpPr>
              <xdr:grpSpPr>
                <a:xfrm>
                  <a:off x="2752725" y="5457825"/>
                  <a:ext cx="8867775" cy="3697035"/>
                  <a:chOff x="2752725" y="5457825"/>
                  <a:chExt cx="8867775" cy="3697035"/>
                </a:xfrm>
                <a:solidFill>
                  <a:srgbClr val="FFFFFF"/>
                </a:solidFill>
              </xdr:grpSpPr>
              <xdr:grpSp>
                <xdr:nvGrpSpPr>
                  <xdr:cNvPr id="6" name="Группа 462"/>
                  <xdr:cNvGrpSpPr>
                    <a:grpSpLocks/>
                  </xdr:cNvGrpSpPr>
                </xdr:nvGrpSpPr>
                <xdr:grpSpPr>
                  <a:xfrm>
                    <a:off x="2752725" y="5457825"/>
                    <a:ext cx="8867775" cy="3697035"/>
                    <a:chOff x="2752725" y="5457825"/>
                    <a:chExt cx="8867775" cy="3697035"/>
                  </a:xfrm>
                  <a:solidFill>
                    <a:srgbClr val="FFFFFF"/>
                  </a:solidFill>
                </xdr:grpSpPr>
                <xdr:grpSp>
                  <xdr:nvGrpSpPr>
                    <xdr:cNvPr id="7" name="Группа 455"/>
                    <xdr:cNvGrpSpPr>
                      <a:grpSpLocks/>
                    </xdr:cNvGrpSpPr>
                  </xdr:nvGrpSpPr>
                  <xdr:grpSpPr>
                    <a:xfrm>
                      <a:off x="2752725" y="5457825"/>
                      <a:ext cx="8867775" cy="3697035"/>
                      <a:chOff x="3038475" y="6010275"/>
                      <a:chExt cx="8867775" cy="3697035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8" name="Группа 452"/>
                      <xdr:cNvGrpSpPr>
                        <a:grpSpLocks/>
                      </xdr:cNvGrpSpPr>
                    </xdr:nvGrpSpPr>
                    <xdr:grpSpPr>
                      <a:xfrm>
                        <a:off x="3038475" y="6010275"/>
                        <a:ext cx="8867775" cy="3697035"/>
                        <a:chOff x="3038475" y="6010275"/>
                        <a:chExt cx="8867775" cy="3697035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9" name="Группа 146"/>
                        <xdr:cNvGrpSpPr>
                          <a:grpSpLocks/>
                        </xdr:cNvGrpSpPr>
                      </xdr:nvGrpSpPr>
                      <xdr:grpSpPr>
                        <a:xfrm>
                          <a:off x="3038475" y="6010275"/>
                          <a:ext cx="8867775" cy="3697035"/>
                          <a:chOff x="3038475" y="6010275"/>
                          <a:chExt cx="8867775" cy="3697035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0" name="Прямоугольник 151"/>
                          <xdr:cNvSpPr>
                            <a:spLocks/>
                          </xdr:cNvSpPr>
                        </xdr:nvSpPr>
                        <xdr:spPr>
                          <a:xfrm>
                            <a:off x="3038475" y="6112868"/>
                            <a:ext cx="7823594" cy="3594442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25400" cmpd="sng">
                            <a:solidFill>
                              <a:srgbClr val="385D8A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Times New Roman"/>
                                <a:ea typeface="Times New Roman"/>
                                <a:cs typeface="Times New Roman"/>
                              </a:rPr>
                              <a:t/>
                            </a:r>
                          </a:p>
                        </xdr:txBody>
                      </xdr:sp>
                      <xdr:grpSp>
                        <xdr:nvGrpSpPr>
                          <xdr:cNvPr id="11" name="Группа 79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3206963" y="6010275"/>
                            <a:ext cx="8699287" cy="3629564"/>
                            <a:chOff x="3141248" y="1066800"/>
                            <a:chExt cx="8698327" cy="3629897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12" name="Группа 77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3141248" y="1066800"/>
                              <a:ext cx="8698327" cy="3629897"/>
                              <a:chOff x="3141248" y="1066800"/>
                              <a:chExt cx="8698327" cy="3629897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13" name="Группа 73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3141248" y="1066800"/>
                                <a:ext cx="8698327" cy="3629897"/>
                                <a:chOff x="3141248" y="1066800"/>
                                <a:chExt cx="8698327" cy="3629897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14" name="Группа 71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3141248" y="1066800"/>
                                  <a:ext cx="8698327" cy="3629897"/>
                                  <a:chOff x="3141248" y="1066800"/>
                                  <a:chExt cx="8698327" cy="3629897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15" name="Группа 65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3141248" y="1066800"/>
                                    <a:ext cx="8698327" cy="3629897"/>
                                    <a:chOff x="3141248" y="1066800"/>
                                    <a:chExt cx="8698327" cy="3629897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16" name="Группа 63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3141248" y="1226515"/>
                                      <a:ext cx="7437070" cy="3470182"/>
                                      <a:chOff x="3141248" y="1226253"/>
                                      <a:chExt cx="7436881" cy="3470444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sp>
                                    <xdr:nvSpPr>
                                      <xdr:cNvPr id="17" name="Прямая со стрелкой 164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>
                                        <a:off x="3771524" y="3144541"/>
                                        <a:ext cx="6806605" cy="0"/>
                                      </a:xfrm>
                                      <a:prstGeom prst="straightConnector1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BE4B48"/>
                                        </a:solidFill>
                                        <a:headEnd type="none"/>
                                        <a:tailEnd type="arrow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  <xdr:grpSp>
                                    <xdr:nvGrpSpPr>
                                      <xdr:cNvPr id="18" name="Группа 57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3141248" y="1423201"/>
                                        <a:ext cx="6990668" cy="3273496"/>
                                        <a:chOff x="3141248" y="1423224"/>
                                        <a:chExt cx="6991412" cy="3273473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sp>
                                      <xdr:nvSpPr>
                                        <xdr:cNvPr id="19" name="TextBox 167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>
                                          <a:off x="3141248" y="2770258"/>
                                          <a:ext cx="1440231" cy="561401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2400" b="0" i="0" u="none" baseline="0">
                                              <a:solidFill>
                                                <a:srgbClr val="000000"/>
                                              </a:solidFill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>O</a:t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20" name="TextBox 168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>
                                          <a:off x="5004459" y="1423224"/>
                                          <a:ext cx="1459457" cy="523756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2400" b="0" i="0" u="none" baseline="0">
                                              <a:solidFill>
                                                <a:srgbClr val="000000"/>
                                              </a:solidFill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>A</a:t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21" name="TextBox 169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>
                                          <a:off x="6841453" y="2367621"/>
                                          <a:ext cx="1459457" cy="523756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2400" b="0" i="0" u="none" baseline="0">
                                              <a:solidFill>
                                                <a:srgbClr val="000000"/>
                                              </a:solidFill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>D</a:t>
                                          </a:r>
                                        </a:p>
                                      </xdr:txBody>
                                    </xdr:sp>
                                    <xdr:sp>
                                      <xdr:nvSpPr>
                                        <xdr:cNvPr id="22" name="TextBox 170"/>
                                        <xdr:cNvSpPr txBox="1">
                                          <a:spLocks noChangeArrowheads="1"/>
                                        </xdr:cNvSpPr>
                                      </xdr:nvSpPr>
                                      <xdr:spPr>
                                        <a:xfrm>
                                          <a:off x="8732630" y="1703106"/>
                                          <a:ext cx="1401778" cy="523756"/>
                                        </a:xfrm>
                                        <a:prstGeom prst="rect">
                                          <a:avLst/>
                                        </a:prstGeom>
                                        <a:noFill/>
                                        <a:ln w="9525" cmpd="sng">
                                          <a:noFill/>
                                        </a:ln>
                                      </xdr:spPr>
                                      <xdr:txBody>
                                        <a:bodyPr vertOverflow="clip" wrap="square"/>
                                        <a:p>
                                          <a:pPr algn="l">
                                            <a:defRPr/>
                                          </a:pPr>
                                          <a:r>
                                            <a:rPr lang="en-US" cap="none" sz="2400" b="0" i="0" u="none" baseline="0">
                                              <a:solidFill>
                                                <a:srgbClr val="000000"/>
                                              </a:solidFill>
                                              <a:latin typeface="Times New Roman"/>
                                              <a:ea typeface="Times New Roman"/>
                                              <a:cs typeface="Times New Roman"/>
                                            </a:rPr>
                                            <a:t>E</a:t>
                                          </a:r>
                                        </a:p>
                                      </xdr:txBody>
                                    </xdr:sp>
                                    <xdr:grpSp>
                                      <xdr:nvGrpSpPr>
                                        <xdr:cNvPr id="23" name="Группа 56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3216406" y="1601628"/>
                                          <a:ext cx="6467056" cy="3095069"/>
                                          <a:chOff x="3216558" y="1601436"/>
                                          <a:chExt cx="6467264" cy="3095261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24" name="Группа 51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3216558" y="1601436"/>
                                            <a:ext cx="6467264" cy="3095261"/>
                                            <a:chOff x="3473732" y="1602090"/>
                                            <a:chExt cx="6465998" cy="3097778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sp>
                                          <xdr:nvSpPr>
                                            <xdr:cNvPr id="25" name="Прямая соединительная линия 175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 flipV="1">
                                              <a:off x="7154501" y="2041200"/>
                                              <a:ext cx="2785229" cy="1049372"/>
                                            </a:xfrm>
                                            <a:prstGeom prst="line">
                                              <a:avLst/>
                                            </a:prstGeom>
                                            <a:noFill/>
                                            <a:ln w="28575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 lIns="91440" tIns="45720" rIns="91440" bIns="45720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Times New Roman"/>
                                                  <a:ea typeface="Times New Roman"/>
                                                  <a:cs typeface="Times New Roman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sp>
                                          <xdr:nvSpPr>
                                            <xdr:cNvPr id="26" name="Прямоугольник 176"/>
                                            <xdr:cNvSpPr>
                                              <a:spLocks/>
                                            </xdr:cNvSpPr>
                                          </xdr:nvSpPr>
                                          <xdr:spPr>
                                            <a:xfrm rot="20192166">
                                              <a:off x="8932651" y="2087667"/>
                                              <a:ext cx="667614" cy="393418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solidFill>
                                              <a:srgbClr val="FFFFFF"/>
                                            </a:solidFill>
                                            <a:ln w="25400" cmpd="sng">
                                              <a:solidFill>
                                                <a:srgbClr val="000000"/>
                                              </a:solidFill>
                                              <a:headEnd type="none"/>
                                              <a:tailEnd type="none"/>
                                            </a:ln>
                                          </xdr:spPr>
                                          <xdr:txBody>
                                            <a:bodyPr vertOverflow="clip" wrap="square"/>
                                            <a:p>
                                              <a:pPr algn="l">
                                                <a:defRPr/>
                                              </a:pPr>
                                              <a:r>
                                                <a:rPr lang="en-US" cap="none" u="none" baseline="0">
                                                  <a:latin typeface="Times New Roman"/>
                                                  <a:ea typeface="Times New Roman"/>
                                                  <a:cs typeface="Times New Roman"/>
                                                </a:rPr>
                                                <a:t/>
                                              </a:r>
                                            </a:p>
                                          </xdr:txBody>
                                        </xdr:sp>
                                        <xdr:grpSp>
                                          <xdr:nvGrpSpPr>
                                            <xdr:cNvPr id="27" name="Группа 16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8856675" y="2239458"/>
                                              <a:ext cx="1073356" cy="667571"/>
                                              <a:chOff x="5914132" y="2525213"/>
                                              <a:chExt cx="1072960" cy="667449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28" name="Группа 6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5914132" y="2525213"/>
                                                <a:ext cx="969419" cy="573506"/>
                                                <a:chOff x="4228207" y="2391863"/>
                                                <a:chExt cx="969428" cy="573577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29" name="Группа 3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4435180" y="2391863"/>
                                                  <a:ext cx="432850" cy="564256"/>
                                                  <a:chOff x="5044870" y="3001463"/>
                                                  <a:chExt cx="432949" cy="564190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sp>
                                                <xdr:nvSpPr>
                                                  <xdr:cNvPr id="30" name="Равнобедренный треугольник 2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5044870" y="3159154"/>
                                                    <a:ext cx="432949" cy="402832"/>
                                                  </a:xfrm>
                                                  <a:prstGeom prst="triangl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254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Times New Roman"/>
                                                        <a:ea typeface="Times New Roman"/>
                                                        <a:cs typeface="Times New Roman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  <xdr:sp>
                                                <xdr:nvSpPr>
                                                  <xdr:cNvPr id="31" name="Овал 1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5157761" y="3000054"/>
                                                    <a:ext cx="197641" cy="178002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254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Times New Roman"/>
                                                        <a:ea typeface="Times New Roman"/>
                                                        <a:cs typeface="Times New Roman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>
                                              <xdr:nvSpPr>
                                                <xdr:cNvPr id="32" name="Прямая соединительная линия 2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H="1" flipV="1">
                                                  <a:off x="4228207" y="2961712"/>
                                                  <a:ext cx="969428" cy="0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90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Times New Roman"/>
                                                      <a:ea typeface="Times New Roman"/>
                                                      <a:cs typeface="Times New Roman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</xdr:grpSp>
                                          <xdr:sp>
                                            <xdr:nvSpPr>
                                              <xdr:cNvPr id="33" name="Прямая соединительная линия 18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5914132" y="3095048"/>
                                                <a:ext cx="178916" cy="9361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34" name="Прямая соединительная линия 19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102436" y="3095048"/>
                                                <a:ext cx="188304" cy="9361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35" name="Прямая соединительная линия 20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318906" y="3095048"/>
                                                <a:ext cx="169528" cy="9361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36" name="Прямая соединительная линия 21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808176" y="3095048"/>
                                                <a:ext cx="178916" cy="9361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37" name="Прямая соединительная линия 22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629528" y="3104392"/>
                                                <a:ext cx="188304" cy="84265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38" name="Прямая соединительная линия 23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>
                                                <a:off x="6488166" y="3095048"/>
                                                <a:ext cx="141094" cy="93610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  <xdr:grpSp>
                                          <xdr:nvGrpSpPr>
                                            <xdr:cNvPr id="39" name="Группа 47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3473732" y="1602090"/>
                                              <a:ext cx="3735730" cy="3097778"/>
                                              <a:chOff x="3473732" y="1602090"/>
                                              <a:chExt cx="3736537" cy="3097778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40" name="Группа 41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3473732" y="1602090"/>
                                                <a:ext cx="3736537" cy="3088485"/>
                                                <a:chOff x="3473732" y="1602090"/>
                                                <a:chExt cx="3736537" cy="3088391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sp>
                                              <xdr:nvSpPr>
                                                <xdr:cNvPr id="41" name="Прямая соединительная линия 184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 flipH="1">
                                                  <a:off x="7031849" y="1602090"/>
                                                  <a:ext cx="0" cy="3091479"/>
                                                </a:xfrm>
                                                <a:prstGeom prst="line">
                                                  <a:avLst/>
                                                </a:prstGeom>
                                                <a:noFill/>
                                                <a:ln w="1905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 lIns="91440" tIns="45720" rIns="91440" bIns="45720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Times New Roman"/>
                                                      <a:ea typeface="Times New Roman"/>
                                                      <a:cs typeface="Times New Roman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sp>
                                              <xdr:nvSpPr>
                                                <xdr:cNvPr id="42" name="Прямоугольник 185"/>
                                                <xdr:cNvSpPr>
                                                  <a:spLocks/>
                                                </xdr:cNvSpPr>
                                              </xdr:nvSpPr>
                                              <xdr:spPr>
                                                <a:xfrm>
                                                  <a:off x="6852496" y="2790348"/>
                                                  <a:ext cx="357773" cy="674813"/>
                                                </a:xfrm>
                                                <a:prstGeom prst="rect">
                                                  <a:avLst/>
                                                </a:prstGeom>
                                                <a:solidFill>
                                                  <a:srgbClr val="FFFFFF"/>
                                                </a:solidFill>
                                                <a:ln w="25400" cmpd="sng">
                                                  <a:solidFill>
                                                    <a:srgbClr val="000000"/>
                                                  </a:solidFill>
                                                  <a:headEnd type="none"/>
                                                  <a:tailEnd type="none"/>
                                                </a:ln>
                                              </xdr:spPr>
                                              <xdr:txBody>
                                                <a:bodyPr vertOverflow="clip" wrap="square"/>
                                                <a:p>
                                                  <a:pPr algn="l">
                                                    <a:defRPr/>
                                                  </a:pPr>
                                                  <a:r>
                                                    <a:rPr lang="en-US" cap="none" u="none" baseline="0">
                                                      <a:latin typeface="Times New Roman"/>
                                                      <a:ea typeface="Times New Roman"/>
                                                      <a:cs typeface="Times New Roman"/>
                                                    </a:rPr>
                                                    <a:t/>
                                                  </a:r>
                                                </a:p>
                                              </xdr:txBody>
                                            </xdr:sp>
                                            <xdr:grpSp>
                                              <xdr:nvGrpSpPr>
                                                <xdr:cNvPr id="43" name="Группа 37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3473732" y="1818277"/>
                                                  <a:ext cx="3642189" cy="1911714"/>
                                                  <a:chOff x="3473732" y="1817996"/>
                                                  <a:chExt cx="3642418" cy="1911515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sp>
                                                <xdr:nvSpPr>
                                                  <xdr:cNvPr id="44" name="Овал 187"/>
                                                  <xdr:cNvSpPr>
                                                    <a:spLocks/>
                                                  </xdr:cNvSpPr>
                                                </xdr:nvSpPr>
                                                <xdr:spPr>
                                                  <a:xfrm>
                                                    <a:off x="6937672" y="2968728"/>
                                                    <a:ext cx="178478" cy="177771"/>
                                                  </a:xfrm>
                                                  <a:prstGeom prst="ellipse">
                                                    <a:avLst/>
                                                  </a:prstGeom>
                                                  <a:solidFill>
                                                    <a:srgbClr val="FFFFFF"/>
                                                  </a:solidFill>
                                                  <a:ln w="25400" cmpd="sng">
                                                    <a:solidFill>
                                                      <a:srgbClr val="000000"/>
                                                    </a:solidFill>
                                                    <a:headEnd type="none"/>
                                                    <a:tailEnd type="none"/>
                                                  </a:ln>
                                                </xdr:spPr>
                                                <xdr:txBody>
                                                  <a:bodyPr vertOverflow="clip" wrap="square"/>
                                                  <a:p>
                                                    <a:pPr algn="l">
                                                      <a:defRPr/>
                                                    </a:pPr>
                                                    <a:r>
                                                      <a:rPr lang="en-US" cap="none" u="none" baseline="0">
                                                        <a:latin typeface="Times New Roman"/>
                                                        <a:ea typeface="Times New Roman"/>
                                                        <a:cs typeface="Times New Roman"/>
                                                      </a:rPr>
                                                      <a:t/>
                                                    </a:r>
                                                  </a:p>
                                                </xdr:txBody>
                                              </xdr:sp>
                                              <xdr:grpSp>
                                                <xdr:nvGrpSpPr>
                                                  <xdr:cNvPr id="45" name="Группа 32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3473732" y="1817996"/>
                                                    <a:ext cx="2098943" cy="1911515"/>
                                                    <a:chOff x="3473732" y="1817996"/>
                                                    <a:chExt cx="2098862" cy="1911515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sp>
                                                  <xdr:nvSpPr>
                                                    <xdr:cNvPr id="46" name="Прямая соединительная линия 189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 flipH="1">
                                                      <a:off x="3944402" y="1919306"/>
                                                      <a:ext cx="1524823" cy="1114891"/>
                                                    </a:xfrm>
                                                    <a:prstGeom prst="line">
                                                      <a:avLst/>
                                                    </a:prstGeom>
                                                    <a:noFill/>
                                                    <a:ln w="28575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 lIns="91440" tIns="45720" rIns="91440" bIns="45720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Times New Roman"/>
                                                          <a:ea typeface="Times New Roman"/>
                                                          <a:cs typeface="Times New Roman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sp>
                                                  <xdr:nvSpPr>
                                                    <xdr:cNvPr id="47" name="Овал 28"/>
                                                    <xdr:cNvSpPr>
                                                      <a:spLocks/>
                                                    </xdr:cNvSpPr>
                                                  </xdr:nvSpPr>
                                                  <xdr:spPr>
                                                    <a:xfrm>
                                                      <a:off x="5384221" y="1817041"/>
                                                      <a:ext cx="188373" cy="177771"/>
                                                    </a:xfrm>
                                                    <a:prstGeom prst="ellipse">
                                                      <a:avLst/>
                                                    </a:prstGeom>
                                                    <a:solidFill>
                                                      <a:srgbClr val="FFFFFF"/>
                                                    </a:solidFill>
                                                    <a:ln w="25400" cmpd="sng">
                                                      <a:solidFill>
                                                        <a:srgbClr val="000000"/>
                                                      </a:solidFill>
                                                      <a:headEnd type="none"/>
                                                      <a:tailEnd type="none"/>
                                                    </a:ln>
                                                  </xdr:spPr>
                                                  <xdr:txBody>
                                                    <a:bodyPr vertOverflow="clip" wrap="square"/>
                                                    <a:p>
                                                      <a:pPr algn="l">
                                                        <a:defRPr/>
                                                      </a:pPr>
                                                      <a:r>
                                                        <a:rPr lang="en-US" cap="none" u="none" baseline="0">
                                                          <a:latin typeface="Times New Roman"/>
                                                          <a:ea typeface="Times New Roman"/>
                                                          <a:cs typeface="Times New Roman"/>
                                                        </a:rPr>
                                                        <a:t/>
                                                      </a:r>
                                                    </a:p>
                                                  </xdr:txBody>
                                                </xdr:sp>
                                                <xdr:grpSp>
                                                  <xdr:nvGrpSpPr>
                                                    <xdr:cNvPr id="48" name="Группа 15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3473732" y="3011737"/>
                                                      <a:ext cx="1120268" cy="717774"/>
                                                      <a:chOff x="5912132" y="2497300"/>
                                                      <a:chExt cx="1120019" cy="717861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49" name="Группа 6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5912132" y="2497300"/>
                                                        <a:ext cx="1016417" cy="534986"/>
                                                        <a:chOff x="4226208" y="2363950"/>
                                                        <a:chExt cx="1016489" cy="535072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50" name="Группа 3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4432301" y="2363950"/>
                                                          <a:ext cx="489439" cy="535072"/>
                                                          <a:chOff x="5041859" y="2973550"/>
                                                          <a:chExt cx="489421" cy="535072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sp>
                                                        <xdr:nvSpPr>
                                                          <xdr:cNvPr id="51" name="Равнобедренный треугольник 2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5042838" y="3052206"/>
                                                            <a:ext cx="489421" cy="449594"/>
                                                          </a:xfrm>
                                                          <a:prstGeom prst="triangl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25400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Times New Roman"/>
                                                                <a:ea typeface="Times New Roman"/>
                                                                <a:cs typeface="Times New Roman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  <xdr:sp>
                                                        <xdr:nvSpPr>
                                                          <xdr:cNvPr id="52" name="Овал 1"/>
                                                          <xdr:cNvSpPr>
                                                            <a:spLocks/>
                                                          </xdr:cNvSpPr>
                                                        </xdr:nvSpPr>
                                                        <xdr:spPr>
                                                          <a:xfrm>
                                                            <a:off x="5202879" y="2968067"/>
                                                            <a:ext cx="178883" cy="177911"/>
                                                          </a:xfrm>
                                                          <a:prstGeom prst="ellipse">
                                                            <a:avLst/>
                                                          </a:prstGeo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  <a:ln w="25400" cmpd="sng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headEnd type="none"/>
                                                            <a:tailEnd type="none"/>
                                                          </a:ln>
                                                        </xdr:spPr>
                                                        <xdr:txBody>
                                                          <a:bodyPr vertOverflow="clip" wrap="square"/>
                                                          <a:p>
                                                            <a:pPr algn="l">
                                                              <a:defRPr/>
                                                            </a:pPr>
                                                            <a:r>
                                                              <a:rPr lang="en-US" cap="none" u="none" baseline="0">
                                                                <a:latin typeface="Times New Roman"/>
                                                                <a:ea typeface="Times New Roman"/>
                                                                <a:cs typeface="Times New Roman"/>
                                                              </a:rPr>
                                                              <a:t/>
                                                            </a:r>
                                                          </a:p>
                                                        </xdr:txBody>
                                                      </xdr:sp>
                                                    </xdr:grpSp>
                                                    <xdr:sp>
                                                      <xdr:nvSpPr>
                                                        <xdr:cNvPr id="53" name="Прямая соединительная линия 5"/>
                                                        <xdr:cNvSpPr>
                                                          <a:spLocks/>
                                                        </xdr:cNvSpPr>
                                                      </xdr:nvSpPr>
                                                      <xdr:spPr>
                                                        <a:xfrm flipH="1" flipV="1">
                                                          <a:off x="4226208" y="2892200"/>
                                                          <a:ext cx="1016489" cy="0"/>
                                                        </a:xfrm>
                                                        <a:prstGeom prst="line">
                                                          <a:avLst/>
                                                        </a:prstGeom>
                                                        <a:noFill/>
                                                        <a:ln w="19050" cmpd="sng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headEnd type="none"/>
                                                          <a:tailEnd type="none"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wrap="square" lIns="91440" tIns="45720" rIns="91440" bIns="45720"/>
                                                        <a:p>
                                                          <a:pPr algn="l">
                                                            <a:defRPr/>
                                                          </a:pPr>
                                                          <a:r>
                                                            <a:rPr lang="en-US" cap="none" u="none" baseline="0">
                                                              <a:latin typeface="Times New Roman"/>
                                                              <a:ea typeface="Times New Roman"/>
                                                              <a:cs typeface="Times New Roman"/>
                                                            </a:rPr>
                                                            <a:t/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sp>
                                                    <xdr:nvSpPr>
                                                      <xdr:cNvPr id="54" name="Прямая соединительная линия 193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5912132" y="3025646"/>
                                                        <a:ext cx="178923" cy="18736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5" name="Прямая соединительная линия 19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109815" y="3025646"/>
                                                        <a:ext cx="178923" cy="18736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6" name="Прямая соединительная линия 195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316739" y="3025646"/>
                                                        <a:ext cx="178923" cy="18736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7" name="Прямая соединительная линия 196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843988" y="3016314"/>
                                                        <a:ext cx="188163" cy="18736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8" name="Прямая соединительная линия 13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674585" y="3016314"/>
                                                        <a:ext cx="178923" cy="18736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  <xdr:sp>
                                                    <xdr:nvSpPr>
                                                      <xdr:cNvPr id="59" name="Прямая соединительная линия 14"/>
                                                      <xdr:cNvSpPr>
                                                        <a:spLocks/>
                                                      </xdr:cNvSpPr>
                                                    </xdr:nvSpPr>
                                                    <xdr:spPr>
                                                      <a:xfrm>
                                                        <a:off x="6495662" y="3016314"/>
                                                        <a:ext cx="178923" cy="187362"/>
                                                      </a:xfrm>
                                                      <a:prstGeom prst="line">
                                                        <a:avLst/>
                                                      </a:prstGeom>
                                                      <a:noFill/>
                                                      <a:ln w="19050" cmpd="sng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headEnd type="none"/>
                                                        <a:tailEnd type="none"/>
                                                      </a:ln>
                                                    </xdr:spPr>
                                                    <xdr:txBody>
                                                      <a:bodyPr vertOverflow="clip" wrap="square" lIns="91440" tIns="45720" rIns="91440" bIns="45720"/>
                                                      <a:p>
                                                        <a:pPr algn="l">
                                                          <a:defRPr/>
                                                        </a:pPr>
                                                        <a:r>
                                                          <a:rPr lang="en-US" cap="none" u="none" baseline="0">
                                                            <a:latin typeface="Times New Roman"/>
                                                            <a:ea typeface="Times New Roman"/>
                                                            <a:cs typeface="Times New Roman"/>
                                                          </a:rPr>
                                                          <a:t/>
                                                        </a:r>
                                                      </a:p>
                                                    </xdr:txBody>
                                                  </xdr:sp>
                                                </xdr:grpSp>
                                              </xdr:grpSp>
                                            </xdr:grpSp>
                                          </xdr:grpSp>
                                          <xdr:sp>
                                            <xdr:nvSpPr>
                                              <xdr:cNvPr id="60" name="Прямая соединительная линия 180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7041191" y="4345172"/>
                                                <a:ext cx="150396" cy="187416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61" name="Прямая соединительная линия 181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7041191" y="4177118"/>
                                                <a:ext cx="150396" cy="187416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62" name="Прямая соединительная линия 182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7031849" y="4514001"/>
                                                <a:ext cx="150396" cy="187416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  <xdr:sp>
                                            <xdr:nvSpPr>
                                              <xdr:cNvPr id="63" name="Прямая соединительная линия 183"/>
                                              <xdr:cNvSpPr>
                                                <a:spLocks/>
                                              </xdr:cNvSpPr>
                                            </xdr:nvSpPr>
                                            <xdr:spPr>
                                              <a:xfrm flipV="1">
                                                <a:off x="7021574" y="4036169"/>
                                                <a:ext cx="150396" cy="187416"/>
                                              </a:xfrm>
                                              <a:prstGeom prst="line">
                                                <a:avLst/>
                                              </a:prstGeom>
                                              <a:noFill/>
                                              <a:ln w="19050" cmpd="sng">
                                                <a:solidFill>
                                                  <a:srgbClr val="000000"/>
                                                </a:solidFill>
                                                <a:headEnd type="none"/>
                                                <a:tailEnd type="none"/>
                                              </a:ln>
                                            </xdr:spPr>
                                            <xdr:txBody>
                                              <a:bodyPr vertOverflow="clip" wrap="square" lIns="91440" tIns="45720" rIns="91440" bIns="45720"/>
                                              <a:p>
                                                <a:pPr algn="l">
                                                  <a:defRPr/>
                                                </a:pPr>
                                                <a:r>
                                                  <a:rPr lang="en-US" cap="none" u="none" baseline="0">
                                                    <a:latin typeface="Times New Roman"/>
                                                    <a:ea typeface="Times New Roman"/>
                                                    <a:cs typeface="Times New Roman"/>
                                                  </a:rPr>
                                                  <a:t/>
                                                </a:r>
                                              </a:p>
                                            </xdr:txBody>
                                          </xdr:sp>
                                        </xdr:grpSp>
                                      </xdr:grpSp>
                                      <xdr:sp>
                                        <xdr:nvSpPr>
                                          <xdr:cNvPr id="64" name="TextBox 173"/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>
                                          <a:xfrm>
                                            <a:off x="3819630" y="1750009"/>
                                            <a:ext cx="1450284" cy="55250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sz="2400" b="1" i="0" u="non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imes New Roman"/>
                                                <a:ea typeface="Times New Roman"/>
                                                <a:cs typeface="Times New Roman"/>
                                              </a:rPr>
                                              <a:t>L1</a:t>
                                            </a:r>
                                          </a:p>
                                        </xdr:txBody>
                                      </xdr:sp>
                                      <xdr:sp>
                                        <xdr:nvSpPr>
                                          <xdr:cNvPr id="65" name="TextBox 174"/>
                                          <xdr:cNvSpPr txBox="1">
                                            <a:spLocks noChangeArrowheads="1"/>
                                          </xdr:cNvSpPr>
                                        </xdr:nvSpPr>
                                        <xdr:spPr>
                                          <a:xfrm>
                                            <a:off x="5514054" y="2601979"/>
                                            <a:ext cx="1440583" cy="523873"/>
                                          </a:xfrm>
                                          <a:prstGeom prst="rect">
                                            <a:avLst/>
                                          </a:prstGeom>
                                          <a:noFill/>
                                          <a:ln w="9525" cmpd="sng">
                                            <a:noFill/>
                                          </a:ln>
                                        </xdr:spPr>
                                        <xdr:txBody>
                                          <a:bodyPr vertOverflow="clip" wrap="square"/>
                                          <a:p>
                                            <a:pPr algn="l">
                                              <a:defRPr/>
                                            </a:pPr>
                                            <a:r>
                                              <a:rPr lang="en-US" cap="none" sz="2400" b="1" i="0" u="none" baseline="0">
                                                <a:solidFill>
                                                  <a:srgbClr val="000000"/>
                                                </a:solidFill>
                                                <a:latin typeface="Times New Roman"/>
                                                <a:ea typeface="Times New Roman"/>
                                                <a:cs typeface="Times New Roman"/>
                                              </a:rPr>
                                              <a:t>L2</a:t>
                                            </a:r>
                                          </a:p>
                                        </xdr:txBody>
                                      </xdr:sp>
                                    </xdr:grpSp>
                                  </xdr:grpSp>
                                  <xdr:sp>
                                    <xdr:nvSpPr>
                                      <xdr:cNvPr id="66" name="Прямая со стрелкой 166"/>
                                      <xdr:cNvSpPr>
                                        <a:spLocks/>
                                      </xdr:cNvSpPr>
                                    </xdr:nvSpPr>
                                    <xdr:spPr>
                                      <a:xfrm flipV="1">
                                        <a:off x="3669267" y="1226253"/>
                                        <a:ext cx="0" cy="1815910"/>
                                      </a:xfrm>
                                      <a:prstGeom prst="straightConnector1">
                                        <a:avLst/>
                                      </a:prstGeom>
                                      <a:noFill/>
                                      <a:ln w="19050" cmpd="sng">
                                        <a:solidFill>
                                          <a:srgbClr val="BE4B48"/>
                                        </a:solidFill>
                                        <a:headEnd type="none"/>
                                        <a:tailEnd type="arrow"/>
                                      </a:ln>
                                    </xdr:spPr>
                                    <xdr:txBody>
                                      <a:bodyPr vertOverflow="clip" wrap="square" lIns="91440" tIns="45720" rIns="91440" bIns="45720"/>
                                      <a:p>
                                        <a:pPr algn="l">
                                          <a:defRPr/>
                                        </a:pPr>
                                        <a:r>
                                          <a:rPr lang="en-US" cap="none" u="none" baseline="0">
                                            <a:latin typeface="Times New Roman"/>
                                            <a:ea typeface="Times New Roman"/>
                                            <a:cs typeface="Times New Roman"/>
                                          </a:rPr>
                                          <a:t/>
                                        </a:r>
                                      </a:p>
                                    </xdr:txBody>
                                  </xdr:sp>
                                </xdr:grpSp>
                                <xdr:sp>
                                  <xdr:nvSpPr>
                                    <xdr:cNvPr id="67" name="TextBox 162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10389129" y="3088653"/>
                                      <a:ext cx="1450446" cy="524520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2400" b="0" i="1" u="none" baseline="0">
                                          <a:solidFill>
                                            <a:srgbClr val="000000"/>
                                          </a:solidFill>
                                          <a:latin typeface="Times New Roman"/>
                                          <a:ea typeface="Times New Roman"/>
                                          <a:cs typeface="Times New Roman"/>
                                        </a:rPr>
                                        <a:t>х</a:t>
                                      </a:r>
                                    </a:p>
                                  </xdr:txBody>
                                </xdr:sp>
                                <xdr:sp>
                                  <xdr:nvSpPr>
                                    <xdr:cNvPr id="68" name="TextBox 163"/>
                                    <xdr:cNvSpPr txBox="1">
                                      <a:spLocks noChangeArrowheads="1"/>
                                    </xdr:cNvSpPr>
                                  </xdr:nvSpPr>
                                  <xdr:spPr>
                                    <a:xfrm>
                                      <a:off x="3319564" y="1066800"/>
                                      <a:ext cx="1450446" cy="524520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 w="9525" cmpd="sng">
                                      <a:noFill/>
                                    </a:ln>
                                  </xdr:spPr>
                                  <xdr:txBody>
                                    <a:bodyPr vertOverflow="clip" wrap="square"/>
                                    <a:p>
                                      <a:pPr algn="l">
                                        <a:defRPr/>
                                      </a:pPr>
                                      <a:r>
                                        <a:rPr lang="en-US" cap="none" sz="2400" b="0" i="1" u="none" baseline="0">
                                          <a:solidFill>
                                            <a:srgbClr val="000000"/>
                                          </a:solidFill>
                                          <a:latin typeface="Times New Roman"/>
                                          <a:ea typeface="Times New Roman"/>
                                          <a:cs typeface="Times New Roman"/>
                                        </a:rPr>
                                        <a:t>у</a:t>
                                      </a:r>
                                    </a:p>
                                  </xdr:txBody>
                                </xdr:sp>
                              </xdr:grpSp>
                              <xdr:sp>
                                <xdr:nvSpPr>
                                  <xdr:cNvPr id="69" name="Прямая соединительная линия 160"/>
                                  <xdr:cNvSpPr>
                                    <a:spLocks/>
                                  </xdr:cNvSpPr>
                                </xdr:nvSpPr>
                                <xdr:spPr>
                                  <a:xfrm flipH="1">
                                    <a:off x="3667497" y="3229311"/>
                                    <a:ext cx="0" cy="767723"/>
                                  </a:xfrm>
                                  <a:prstGeom prst="line">
                                    <a:avLst/>
                                  </a:prstGeom>
                                  <a:noFill/>
                                  <a:ln w="9525" cmpd="sng">
                                    <a:solidFill>
                                      <a:srgbClr val="000000"/>
                                    </a:solidFill>
                                    <a:headEnd type="none"/>
                                    <a:tailEnd type="none"/>
                                  </a:ln>
                                </xdr:spPr>
                                <xdr:txBody>
                                  <a:bodyPr vertOverflow="clip" wrap="square" lIns="91440" tIns="45720" rIns="91440" bIns="45720"/>
                                  <a:p>
                                    <a:pPr algn="l">
                                      <a:defRPr/>
                                    </a:pPr>
                                    <a:r>
                                      <a:rPr lang="en-US" cap="none" u="none" baseline="0">
                                        <a:latin typeface="Times New Roman"/>
                                        <a:ea typeface="Times New Roman"/>
                                        <a:cs typeface="Times New Roman"/>
                                      </a:rPr>
                                      <a:t/>
                                    </a:r>
                                  </a:p>
                                </xdr:txBody>
                              </xdr:sp>
                            </xdr:grpSp>
                            <xdr:sp>
                              <xdr:nvSpPr>
                                <xdr:cNvPr id="70" name="Прямая соединительная линия 158"/>
                                <xdr:cNvSpPr>
                                  <a:spLocks/>
                                </xdr:cNvSpPr>
                              </xdr:nvSpPr>
                              <xdr:spPr>
                                <a:xfrm>
                                  <a:off x="5966030" y="2498794"/>
                                  <a:ext cx="735009" cy="0"/>
                                </a:xfrm>
                                <a:prstGeom prst="line">
                                  <a:avLst/>
                                </a:prstGeom>
                                <a:noFill/>
                                <a:ln w="9525" cmpd="sng">
                                  <a:solidFill>
                                    <a:srgbClr val="000000"/>
                                  </a:solidFill>
                                  <a:headEnd type="none"/>
                                  <a:tailEnd type="none"/>
                                </a:ln>
                              </xdr:spPr>
                              <xdr:txBody>
                                <a:bodyPr vertOverflow="clip" wrap="square" lIns="91440" tIns="45720" rIns="91440" bIns="45720"/>
                                <a:p>
                                  <a:pPr algn="l">
                                    <a:defRPr/>
                                  </a:pPr>
                                  <a:r>
                                    <a:rPr lang="en-US" cap="none" u="none" baseline="0">
                                      <a:latin typeface="Times New Roman"/>
                                      <a:ea typeface="Times New Roman"/>
                                      <a:cs typeface="Times New Roman"/>
                                    </a:rPr>
                                    <a:t/>
                                  </a:r>
                                </a:p>
                              </xdr:txBody>
                            </xdr:sp>
                          </xdr:grpSp>
                          <xdr:sp>
                            <xdr:nvSpPr>
                              <xdr:cNvPr id="71" name="TextBox 156"/>
                              <xdr:cNvSpPr txBox="1">
                                <a:spLocks noChangeArrowheads="1"/>
                              </xdr:cNvSpPr>
                            </xdr:nvSpPr>
                            <xdr:spPr>
                              <a:xfrm>
                                <a:off x="5909491" y="1974274"/>
                                <a:ext cx="441440" cy="524520"/>
                              </a:xfrm>
                              <a:prstGeom prst="rect">
                                <a:avLst/>
                              </a:prstGeom>
                              <a:noFill/>
                              <a:ln w="9525" cmpd="sng">
                                <a:noFill/>
                              </a:ln>
                            </xdr:spPr>
                            <xdr:txBody>
                              <a:bodyPr vertOverflow="clip" wrap="square"/>
                              <a:p>
                                <a:pPr algn="l">
                                  <a:defRPr/>
                                </a:pPr>
                                <a:r>
                                  <a:rPr lang="en-US" cap="none" sz="1800" b="0" i="0" u="none" baseline="0">
                                    <a:solidFill>
                                      <a:srgbClr val="000000"/>
                                    </a:solidFill>
                                    <a:latin typeface="Times New Roman"/>
                                    <a:ea typeface="Times New Roman"/>
                                    <a:cs typeface="Times New Roman"/>
                                  </a:rPr>
                                  <a:t>ψ</a:t>
                                </a:r>
                              </a:p>
                            </xdr:txBody>
                          </xdr:sp>
                        </xdr:grpSp>
                        <xdr:sp>
                          <xdr:nvSpPr>
                            <xdr:cNvPr id="72" name="Полилиния 15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5739873" y="2255591"/>
                              <a:ext cx="593661" cy="225054"/>
                            </a:xfrm>
                            <a:custGeom>
                              <a:pathLst>
                                <a:path h="233362" w="590550">
                                  <a:moveTo>
                                    <a:pt x="0" y="71437"/>
                                  </a:moveTo>
                                  <a:cubicBezTo>
                                    <a:pt x="42069" y="48418"/>
                                    <a:pt x="84138" y="25400"/>
                                    <a:pt x="123825" y="14287"/>
                                  </a:cubicBezTo>
                                  <a:cubicBezTo>
                                    <a:pt x="163513" y="3175"/>
                                    <a:pt x="193675" y="0"/>
                                    <a:pt x="238125" y="4762"/>
                                  </a:cubicBezTo>
                                  <a:cubicBezTo>
                                    <a:pt x="282575" y="9525"/>
                                    <a:pt x="341313" y="20637"/>
                                    <a:pt x="390525" y="42862"/>
                                  </a:cubicBezTo>
                                  <a:cubicBezTo>
                                    <a:pt x="439737" y="65087"/>
                                    <a:pt x="500063" y="106362"/>
                                    <a:pt x="533400" y="138112"/>
                                  </a:cubicBezTo>
                                  <a:cubicBezTo>
                                    <a:pt x="566737" y="169862"/>
                                    <a:pt x="578643" y="201612"/>
                                    <a:pt x="590550" y="233362"/>
                                  </a:cubicBezTo>
                                </a:path>
                              </a:pathLst>
                            </a:custGeom>
                            <a:noFill/>
                            <a:ln w="9525" cmpd="sng">
                              <a:solidFill>
                                <a:srgbClr val="000000"/>
                              </a:solidFill>
                              <a:headEnd type="none"/>
                              <a:tailEnd type="none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Times New Roman"/>
                                  <a:ea typeface="Times New Roman"/>
                                  <a:cs typeface="Times New Roman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</xdr:grpSp>
                    <xdr:sp>
                      <xdr:nvSpPr>
                        <xdr:cNvPr id="73" name="Полилиния 150"/>
                        <xdr:cNvSpPr>
                          <a:spLocks/>
                        </xdr:cNvSpPr>
                      </xdr:nvSpPr>
                      <xdr:spPr>
                        <a:xfrm>
                          <a:off x="4056052" y="7807034"/>
                          <a:ext cx="104196" cy="271732"/>
                        </a:xfrm>
                        <a:custGeom>
                          <a:pathLst>
                            <a:path h="238125" w="101600">
                              <a:moveTo>
                                <a:pt x="0" y="0"/>
                              </a:moveTo>
                              <a:cubicBezTo>
                                <a:pt x="20637" y="23019"/>
                                <a:pt x="41275" y="46038"/>
                                <a:pt x="57150" y="76200"/>
                              </a:cubicBezTo>
                              <a:cubicBezTo>
                                <a:pt x="73025" y="106362"/>
                                <a:pt x="88900" y="153988"/>
                                <a:pt x="95250" y="180975"/>
                              </a:cubicBezTo>
                              <a:cubicBezTo>
                                <a:pt x="101600" y="207962"/>
                                <a:pt x="95250" y="238125"/>
                                <a:pt x="95250" y="238125"/>
                              </a:cubicBezTo>
                              <a:lnTo>
                                <a:pt x="95250" y="238125"/>
                              </a:lnTo>
                              <a:lnTo>
                                <a:pt x="76200" y="228600"/>
                              </a:lnTo>
                            </a:path>
                          </a:pathLst>
                        </a:cu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Times New Roman"/>
                              <a:ea typeface="Times New Roman"/>
                              <a:cs typeface="Times New Roman"/>
                            </a:rPr>
                            <a:t/>
                          </a:r>
                        </a:p>
                      </xdr:txBody>
                    </xdr:sp>
                  </xdr:grpSp>
                  <xdr:sp>
                    <xdr:nvSpPr>
                      <xdr:cNvPr id="74" name="Прямая со стрелкой 147"/>
                      <xdr:cNvSpPr>
                        <a:spLocks/>
                      </xdr:cNvSpPr>
                    </xdr:nvSpPr>
                    <xdr:spPr>
                      <a:xfrm flipV="1">
                        <a:off x="3743463" y="8893038"/>
                        <a:ext cx="3154711" cy="0"/>
                      </a:xfrm>
                      <a:prstGeom prst="straightConnector1">
                        <a:avLst/>
                      </a:prstGeom>
                      <a:noFill/>
                      <a:ln w="19050" cmpd="sng">
                        <a:solidFill>
                          <a:srgbClr val="000000"/>
                        </a:solidFill>
                        <a:headEnd type="triangle"/>
                        <a:tailEnd type="triangl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Times New Roman"/>
                            <a:ea typeface="Times New Roman"/>
                            <a:cs typeface="Times New Roman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75" name="TextBox 148"/>
                      <xdr:cNvSpPr txBox="1">
                        <a:spLocks noChangeArrowheads="1"/>
                      </xdr:cNvSpPr>
                    </xdr:nvSpPr>
                    <xdr:spPr>
                      <a:xfrm>
                        <a:off x="5024857" y="8518713"/>
                        <a:ext cx="1449881" cy="53329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sz="1800" b="0" i="0" u="none" baseline="0">
                            <a:solidFill>
                              <a:srgbClr val="000000"/>
                            </a:solidFill>
                            <a:latin typeface="Times New Roman"/>
                            <a:ea typeface="Times New Roman"/>
                            <a:cs typeface="Times New Roman"/>
                          </a:rPr>
                          <a:t>a</a:t>
                        </a:r>
                      </a:p>
                    </xdr:txBody>
                  </xdr:sp>
                </xdr:grpSp>
                <xdr:sp>
                  <xdr:nvSpPr>
                    <xdr:cNvPr id="76" name="Прямая соединительная линия 131"/>
                    <xdr:cNvSpPr>
                      <a:spLocks/>
                    </xdr:cNvSpPr>
                  </xdr:nvSpPr>
                  <xdr:spPr>
                    <a:xfrm flipH="1" flipV="1">
                      <a:off x="5069431" y="6356205"/>
                      <a:ext cx="1307997" cy="1020382"/>
                    </a:xfrm>
                    <a:prstGeom prst="line">
                      <a:avLst/>
                    </a:prstGeom>
                    <a:noFill/>
                    <a:ln w="2857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Times New Roman"/>
                          <a:ea typeface="Times New Roman"/>
                          <a:cs typeface="Times New Roman"/>
                        </a:rPr>
                        <a:t/>
                      </a:r>
                    </a:p>
                  </xdr:txBody>
                </xdr:sp>
                <xdr:sp>
                  <xdr:nvSpPr>
                    <xdr:cNvPr id="77" name="TextBox 135"/>
                    <xdr:cNvSpPr txBox="1">
                      <a:spLocks noChangeArrowheads="1"/>
                    </xdr:cNvSpPr>
                  </xdr:nvSpPr>
                  <xdr:spPr>
                    <a:xfrm>
                      <a:off x="3845678" y="7124264"/>
                      <a:ext cx="1441013" cy="571192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sz="1800" b="0" i="0" u="none" baseline="0">
                          <a:solidFill>
                            <a:srgbClr val="000000"/>
                          </a:solidFill>
                          <a:latin typeface="Times New Roman"/>
                          <a:ea typeface="Times New Roman"/>
                          <a:cs typeface="Times New Roman"/>
                        </a:rPr>
                        <a:t>φ</a:t>
                      </a:r>
                    </a:p>
                  </xdr:txBody>
                </xdr:sp>
              </xdr:grpSp>
              <xdr:sp>
                <xdr:nvSpPr>
                  <xdr:cNvPr id="78" name="Полилиния 120"/>
                  <xdr:cNvSpPr>
                    <a:spLocks/>
                  </xdr:cNvSpPr>
                </xdr:nvSpPr>
                <xdr:spPr>
                  <a:xfrm>
                    <a:off x="7168877" y="7320206"/>
                    <a:ext cx="104196" cy="215352"/>
                  </a:xfrm>
                  <a:custGeom>
                    <a:pathLst>
                      <a:path h="219075" w="107950">
                        <a:moveTo>
                          <a:pt x="0" y="0"/>
                        </a:moveTo>
                        <a:cubicBezTo>
                          <a:pt x="29369" y="30956"/>
                          <a:pt x="58738" y="61913"/>
                          <a:pt x="76200" y="95250"/>
                        </a:cubicBezTo>
                        <a:cubicBezTo>
                          <a:pt x="93662" y="128587"/>
                          <a:pt x="101600" y="180975"/>
                          <a:pt x="104775" y="200025"/>
                        </a:cubicBezTo>
                        <a:cubicBezTo>
                          <a:pt x="107950" y="219075"/>
                          <a:pt x="95250" y="209550"/>
                          <a:pt x="95250" y="209550"/>
                        </a:cubicBezTo>
                        <a:lnTo>
                          <a:pt x="104775" y="200025"/>
                        </a:lnTo>
                        <a:lnTo>
                          <a:pt x="104775" y="200025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79" name="TextBox 123"/>
                  <xdr:cNvSpPr txBox="1">
                    <a:spLocks noChangeArrowheads="1"/>
                  </xdr:cNvSpPr>
                </xdr:nvSpPr>
                <xdr:spPr>
                  <a:xfrm>
                    <a:off x="7308544" y="7199128"/>
                    <a:ext cx="1458749" cy="561949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µ</a:t>
                    </a:r>
                  </a:p>
                </xdr:txBody>
              </xdr:sp>
            </xdr:grpSp>
            <xdr:sp>
              <xdr:nvSpPr>
                <xdr:cNvPr id="80" name="TextBox 117"/>
                <xdr:cNvSpPr txBox="1">
                  <a:spLocks noChangeArrowheads="1"/>
                </xdr:cNvSpPr>
              </xdr:nvSpPr>
              <xdr:spPr>
                <a:xfrm>
                  <a:off x="7337365" y="6637179"/>
                  <a:ext cx="1073001" cy="5240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24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L</a:t>
                  </a:r>
                  <a:r>
                    <a:rPr lang="en-US" cap="none" sz="2400" b="1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4
</a:t>
                  </a:r>
                </a:p>
              </xdr:txBody>
            </xdr:sp>
          </xdr:grpSp>
          <xdr:sp>
            <xdr:nvSpPr>
              <xdr:cNvPr id="81" name="TextBox 109"/>
              <xdr:cNvSpPr txBox="1">
                <a:spLocks noChangeArrowheads="1"/>
              </xdr:cNvSpPr>
            </xdr:nvSpPr>
            <xdr:spPr>
              <a:xfrm>
                <a:off x="9281667" y="5168048"/>
                <a:ext cx="1429515" cy="54451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24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K</a:t>
                </a:r>
              </a:p>
            </xdr:txBody>
          </xdr:sp>
        </xdr:grpSp>
        <xdr:sp>
          <xdr:nvSpPr>
            <xdr:cNvPr id="82" name="TextBox 91"/>
            <xdr:cNvSpPr txBox="1">
              <a:spLocks noChangeArrowheads="1"/>
            </xdr:cNvSpPr>
          </xdr:nvSpPr>
          <xdr:spPr>
            <a:xfrm>
              <a:off x="3267465" y="5539285"/>
              <a:ext cx="681769" cy="5453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1</a:t>
              </a:r>
            </a:p>
          </xdr:txBody>
        </xdr:sp>
        <xdr:sp>
          <xdr:nvSpPr>
            <xdr:cNvPr id="83" name="TextBox 92"/>
            <xdr:cNvSpPr txBox="1">
              <a:spLocks noChangeArrowheads="1"/>
            </xdr:cNvSpPr>
          </xdr:nvSpPr>
          <xdr:spPr>
            <a:xfrm>
              <a:off x="5695442" y="4889076"/>
              <a:ext cx="681769" cy="5453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2</a:t>
              </a:r>
            </a:p>
          </xdr:txBody>
        </xdr:sp>
        <xdr:sp>
          <xdr:nvSpPr>
            <xdr:cNvPr id="84" name="TextBox 95"/>
            <xdr:cNvSpPr txBox="1">
              <a:spLocks noChangeArrowheads="1"/>
            </xdr:cNvSpPr>
          </xdr:nvSpPr>
          <xdr:spPr>
            <a:xfrm>
              <a:off x="7171141" y="6993749"/>
              <a:ext cx="681769" cy="53585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3</a:t>
              </a:r>
            </a:p>
          </xdr:txBody>
        </xdr:sp>
        <xdr:sp>
          <xdr:nvSpPr>
            <xdr:cNvPr id="85" name="TextBox 102"/>
            <xdr:cNvSpPr txBox="1">
              <a:spLocks noChangeArrowheads="1"/>
            </xdr:cNvSpPr>
          </xdr:nvSpPr>
          <xdr:spPr>
            <a:xfrm>
              <a:off x="7329488" y="5031782"/>
              <a:ext cx="681769" cy="53585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4</a:t>
              </a:r>
            </a:p>
          </xdr:txBody>
        </xdr:sp>
        <xdr:sp>
          <xdr:nvSpPr>
            <xdr:cNvPr id="86" name="TextBox 103"/>
            <xdr:cNvSpPr txBox="1">
              <a:spLocks noChangeArrowheads="1"/>
            </xdr:cNvSpPr>
          </xdr:nvSpPr>
          <xdr:spPr>
            <a:xfrm>
              <a:off x="9673893" y="5625286"/>
              <a:ext cx="681769" cy="53585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2400" b="0" i="1" u="none" baseline="0">
                  <a:solidFill>
                    <a:srgbClr val="003366"/>
                  </a:solidFill>
                  <a:latin typeface="Times New Roman"/>
                  <a:ea typeface="Times New Roman"/>
                  <a:cs typeface="Times New Roman"/>
                </a:rPr>
                <a:t>5</a:t>
              </a:r>
            </a:p>
          </xdr:txBody>
        </xdr:sp>
      </xdr:grpSp>
      <xdr:sp>
        <xdr:nvSpPr>
          <xdr:cNvPr id="87" name="Прямая соединительная линия 83"/>
          <xdr:cNvSpPr>
            <a:spLocks/>
          </xdr:cNvSpPr>
        </xdr:nvSpPr>
        <xdr:spPr>
          <a:xfrm flipV="1">
            <a:off x="3482992" y="5787839"/>
            <a:ext cx="934683" cy="38748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8" name="Прямая соединительная линия 84"/>
          <xdr:cNvSpPr>
            <a:spLocks/>
          </xdr:cNvSpPr>
        </xdr:nvSpPr>
        <xdr:spPr>
          <a:xfrm flipH="1">
            <a:off x="5517302" y="5271830"/>
            <a:ext cx="316693" cy="22020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9" name="Прямая соединительная линия 86"/>
          <xdr:cNvSpPr>
            <a:spLocks/>
          </xdr:cNvSpPr>
        </xdr:nvSpPr>
        <xdr:spPr>
          <a:xfrm flipH="1" flipV="1">
            <a:off x="6946817" y="6735745"/>
            <a:ext cx="307896" cy="411106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Прямая соединительная линия 87"/>
          <xdr:cNvSpPr>
            <a:spLocks/>
          </xdr:cNvSpPr>
        </xdr:nvSpPr>
        <xdr:spPr>
          <a:xfrm flipH="1">
            <a:off x="7441649" y="5424931"/>
            <a:ext cx="37387" cy="746606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Прямая соединительная линия 88"/>
          <xdr:cNvSpPr>
            <a:spLocks/>
          </xdr:cNvSpPr>
        </xdr:nvSpPr>
        <xdr:spPr>
          <a:xfrm flipH="1" flipV="1">
            <a:off x="9346204" y="5711288"/>
            <a:ext cx="439851" cy="143651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B1" sqref="B1"/>
    </sheetView>
  </sheetViews>
  <sheetFormatPr defaultColWidth="9.00390625" defaultRowHeight="15" customHeight="1"/>
  <sheetData>
    <row r="1" spans="1:4" ht="15" customHeight="1" thickBot="1">
      <c r="A1" s="43" t="s">
        <v>202</v>
      </c>
      <c r="B1" s="44" t="s">
        <v>74</v>
      </c>
      <c r="C1" s="45" t="s">
        <v>75</v>
      </c>
      <c r="D1" s="48" t="s">
        <v>76</v>
      </c>
    </row>
    <row r="2" spans="1:4" ht="15" customHeight="1">
      <c r="A2" s="49" t="s">
        <v>119</v>
      </c>
      <c r="B2" s="43">
        <v>22</v>
      </c>
      <c r="C2" s="43">
        <v>40</v>
      </c>
      <c r="D2" s="43">
        <v>56</v>
      </c>
    </row>
    <row r="3" spans="1:4" ht="15" customHeight="1" thickBot="1">
      <c r="A3" s="50" t="s">
        <v>120</v>
      </c>
      <c r="B3" s="43">
        <v>24</v>
      </c>
      <c r="C3" s="43">
        <v>42</v>
      </c>
      <c r="D3" s="43">
        <v>58</v>
      </c>
    </row>
    <row r="4" spans="1:8" ht="15" customHeight="1" thickBot="1">
      <c r="A4" s="50" t="s">
        <v>121</v>
      </c>
      <c r="B4" s="43">
        <v>25</v>
      </c>
      <c r="C4" s="43">
        <v>43</v>
      </c>
      <c r="D4" s="43">
        <v>60</v>
      </c>
      <c r="G4" s="157" t="s">
        <v>87</v>
      </c>
      <c r="H4" s="158"/>
    </row>
    <row r="5" spans="1:12" ht="15" customHeight="1" thickBot="1">
      <c r="A5" s="51" t="s">
        <v>122</v>
      </c>
      <c r="B5" s="43">
        <v>23</v>
      </c>
      <c r="C5" s="43">
        <v>44</v>
      </c>
      <c r="D5" s="43">
        <v>62</v>
      </c>
      <c r="G5" s="50" t="s">
        <v>123</v>
      </c>
      <c r="H5" s="43" t="s">
        <v>93</v>
      </c>
      <c r="I5" s="43" t="s">
        <v>108</v>
      </c>
      <c r="J5" s="43" t="s">
        <v>110</v>
      </c>
      <c r="K5" s="43" t="s">
        <v>113</v>
      </c>
      <c r="L5" s="43" t="s">
        <v>116</v>
      </c>
    </row>
    <row r="6" spans="7:12" ht="15" customHeight="1" thickBot="1">
      <c r="G6" s="50" t="s">
        <v>124</v>
      </c>
      <c r="H6" s="43" t="s">
        <v>95</v>
      </c>
      <c r="I6" s="43" t="s">
        <v>107</v>
      </c>
      <c r="J6" s="43" t="s">
        <v>112</v>
      </c>
      <c r="K6" s="43" t="s">
        <v>115</v>
      </c>
      <c r="L6" s="43" t="s">
        <v>118</v>
      </c>
    </row>
    <row r="7" spans="1:12" ht="15" customHeight="1" thickBot="1">
      <c r="A7" s="52" t="s">
        <v>86</v>
      </c>
      <c r="B7" s="53"/>
      <c r="G7" s="50" t="s">
        <v>125</v>
      </c>
      <c r="H7" s="43" t="s">
        <v>94</v>
      </c>
      <c r="I7" s="43" t="s">
        <v>109</v>
      </c>
      <c r="J7" s="43" t="s">
        <v>111</v>
      </c>
      <c r="K7" s="43" t="s">
        <v>114</v>
      </c>
      <c r="L7" s="43" t="s">
        <v>117</v>
      </c>
    </row>
    <row r="8" spans="1:13" ht="15" customHeight="1" thickBot="1">
      <c r="A8" s="44" t="s">
        <v>17</v>
      </c>
      <c r="B8" s="45" t="s">
        <v>52</v>
      </c>
      <c r="C8" s="45" t="s">
        <v>34</v>
      </c>
      <c r="D8" s="45" t="s">
        <v>77</v>
      </c>
      <c r="E8" s="45" t="s">
        <v>51</v>
      </c>
      <c r="F8" s="46"/>
      <c r="G8" s="47" t="s">
        <v>17</v>
      </c>
      <c r="H8" s="45" t="s">
        <v>88</v>
      </c>
      <c r="I8" s="45" t="s">
        <v>89</v>
      </c>
      <c r="J8" s="45" t="s">
        <v>90</v>
      </c>
      <c r="K8" s="45" t="s">
        <v>91</v>
      </c>
      <c r="L8" s="45" t="s">
        <v>92</v>
      </c>
      <c r="M8" s="48" t="s">
        <v>73</v>
      </c>
    </row>
    <row r="9" spans="1:13" ht="15" customHeight="1">
      <c r="A9" s="50" t="s">
        <v>18</v>
      </c>
      <c r="B9" s="43" t="s">
        <v>80</v>
      </c>
      <c r="C9" s="43" t="s">
        <v>81</v>
      </c>
      <c r="D9" s="43" t="s">
        <v>82</v>
      </c>
      <c r="E9" s="43" t="s">
        <v>78</v>
      </c>
      <c r="G9" s="50" t="s">
        <v>18</v>
      </c>
      <c r="H9" s="43" t="s">
        <v>96</v>
      </c>
      <c r="I9" s="43" t="s">
        <v>98</v>
      </c>
      <c r="J9" s="43" t="s">
        <v>100</v>
      </c>
      <c r="K9" s="43" t="s">
        <v>101</v>
      </c>
      <c r="L9" s="43" t="s">
        <v>103</v>
      </c>
      <c r="M9" s="54" t="s">
        <v>105</v>
      </c>
    </row>
    <row r="10" spans="1:13" ht="15" customHeight="1">
      <c r="A10" s="50" t="s">
        <v>19</v>
      </c>
      <c r="B10" s="43" t="s">
        <v>85</v>
      </c>
      <c r="C10" s="43" t="s">
        <v>84</v>
      </c>
      <c r="D10" s="43" t="s">
        <v>83</v>
      </c>
      <c r="E10" s="43" t="s">
        <v>79</v>
      </c>
      <c r="G10" s="50" t="s">
        <v>19</v>
      </c>
      <c r="H10" s="43" t="s">
        <v>97</v>
      </c>
      <c r="I10" s="43" t="s">
        <v>99</v>
      </c>
      <c r="J10" s="43" t="s">
        <v>100</v>
      </c>
      <c r="K10" s="43" t="s">
        <v>102</v>
      </c>
      <c r="L10" s="43" t="s">
        <v>104</v>
      </c>
      <c r="M10" s="55" t="s">
        <v>106</v>
      </c>
    </row>
    <row r="11" spans="1:13" ht="15" customHeight="1">
      <c r="A11" s="50" t="s">
        <v>20</v>
      </c>
      <c r="B11" s="43">
        <v>31</v>
      </c>
      <c r="C11" s="43">
        <v>47</v>
      </c>
      <c r="D11" s="43">
        <v>55</v>
      </c>
      <c r="E11" s="43"/>
      <c r="F11" s="43"/>
      <c r="G11" s="50" t="s">
        <v>20</v>
      </c>
      <c r="H11" s="43">
        <v>76</v>
      </c>
      <c r="I11" s="43">
        <v>91</v>
      </c>
      <c r="J11" s="43">
        <v>106</v>
      </c>
      <c r="K11" s="43">
        <v>121</v>
      </c>
      <c r="L11" s="43">
        <v>136</v>
      </c>
      <c r="M11" s="55">
        <v>151</v>
      </c>
    </row>
    <row r="12" spans="1:13" ht="15" customHeight="1">
      <c r="A12" s="50" t="s">
        <v>21</v>
      </c>
      <c r="B12" s="43">
        <v>32</v>
      </c>
      <c r="C12" s="43">
        <v>48</v>
      </c>
      <c r="D12" s="43">
        <v>56</v>
      </c>
      <c r="E12" s="43"/>
      <c r="F12" s="43"/>
      <c r="G12" s="50" t="s">
        <v>21</v>
      </c>
      <c r="H12" s="43">
        <v>77</v>
      </c>
      <c r="I12" s="43">
        <v>92</v>
      </c>
      <c r="J12" s="43">
        <v>107</v>
      </c>
      <c r="K12" s="43">
        <v>122</v>
      </c>
      <c r="L12" s="43">
        <v>137</v>
      </c>
      <c r="M12" s="55">
        <v>152</v>
      </c>
    </row>
    <row r="13" spans="1:13" ht="15" customHeight="1">
      <c r="A13" s="50" t="s">
        <v>22</v>
      </c>
      <c r="B13" s="43">
        <v>33</v>
      </c>
      <c r="C13" s="43">
        <v>49</v>
      </c>
      <c r="D13" s="43">
        <v>57</v>
      </c>
      <c r="E13" s="43"/>
      <c r="F13" s="43"/>
      <c r="G13" s="50" t="s">
        <v>22</v>
      </c>
      <c r="H13" s="43">
        <v>78</v>
      </c>
      <c r="I13" s="43">
        <v>93</v>
      </c>
      <c r="J13" s="43">
        <v>108</v>
      </c>
      <c r="K13" s="43">
        <v>123</v>
      </c>
      <c r="L13" s="43">
        <v>138</v>
      </c>
      <c r="M13" s="55">
        <v>153</v>
      </c>
    </row>
    <row r="14" spans="1:13" ht="15" customHeight="1">
      <c r="A14" s="50" t="s">
        <v>23</v>
      </c>
      <c r="B14" s="43">
        <v>34</v>
      </c>
      <c r="C14" s="43">
        <v>50</v>
      </c>
      <c r="D14" s="43">
        <v>58</v>
      </c>
      <c r="E14" s="43"/>
      <c r="F14" s="43"/>
      <c r="G14" s="50" t="s">
        <v>23</v>
      </c>
      <c r="H14" s="43">
        <v>79</v>
      </c>
      <c r="I14" s="43">
        <v>94</v>
      </c>
      <c r="J14" s="43">
        <v>109</v>
      </c>
      <c r="K14" s="43">
        <v>124</v>
      </c>
      <c r="L14" s="43">
        <v>139</v>
      </c>
      <c r="M14" s="55">
        <v>154</v>
      </c>
    </row>
    <row r="15" spans="1:13" ht="15" customHeight="1">
      <c r="A15" s="50" t="s">
        <v>24</v>
      </c>
      <c r="B15" s="43">
        <v>35</v>
      </c>
      <c r="C15" s="43">
        <v>51</v>
      </c>
      <c r="D15" s="43">
        <v>59</v>
      </c>
      <c r="E15" s="43"/>
      <c r="F15" s="43"/>
      <c r="G15" s="50" t="s">
        <v>24</v>
      </c>
      <c r="H15" s="43">
        <v>80</v>
      </c>
      <c r="I15" s="43">
        <v>95</v>
      </c>
      <c r="J15" s="43">
        <v>110</v>
      </c>
      <c r="K15" s="43">
        <v>125</v>
      </c>
      <c r="L15" s="43">
        <v>140</v>
      </c>
      <c r="M15" s="55">
        <v>155</v>
      </c>
    </row>
    <row r="16" spans="1:13" ht="15" customHeight="1" thickBot="1">
      <c r="A16" s="51" t="s">
        <v>25</v>
      </c>
      <c r="B16" s="43">
        <v>36</v>
      </c>
      <c r="C16" s="43">
        <v>52</v>
      </c>
      <c r="D16" s="43">
        <v>60</v>
      </c>
      <c r="E16" s="43"/>
      <c r="F16" s="43"/>
      <c r="G16" s="50" t="s">
        <v>25</v>
      </c>
      <c r="H16" s="43">
        <v>81</v>
      </c>
      <c r="I16" s="43">
        <v>96</v>
      </c>
      <c r="J16" s="43">
        <v>111</v>
      </c>
      <c r="K16" s="43">
        <v>126</v>
      </c>
      <c r="L16" s="43">
        <v>141</v>
      </c>
      <c r="M16" s="55">
        <v>156</v>
      </c>
    </row>
    <row r="17" spans="7:13" ht="15" customHeight="1">
      <c r="G17" s="50" t="s">
        <v>67</v>
      </c>
      <c r="H17" s="43">
        <v>82</v>
      </c>
      <c r="I17" s="43">
        <v>97</v>
      </c>
      <c r="J17" s="43">
        <v>112</v>
      </c>
      <c r="K17" s="43">
        <v>127</v>
      </c>
      <c r="L17" s="43">
        <v>142</v>
      </c>
      <c r="M17" s="55"/>
    </row>
    <row r="18" spans="7:13" ht="15" customHeight="1">
      <c r="G18" s="50" t="s">
        <v>68</v>
      </c>
      <c r="H18" s="43">
        <v>83</v>
      </c>
      <c r="I18" s="43">
        <v>98</v>
      </c>
      <c r="J18" s="43">
        <v>113</v>
      </c>
      <c r="K18" s="43">
        <v>128</v>
      </c>
      <c r="L18" s="43">
        <v>143</v>
      </c>
      <c r="M18" s="55"/>
    </row>
    <row r="19" spans="7:13" ht="15" customHeight="1">
      <c r="G19" s="50" t="s">
        <v>69</v>
      </c>
      <c r="H19" s="43">
        <v>84</v>
      </c>
      <c r="I19" s="43">
        <v>99</v>
      </c>
      <c r="J19" s="43">
        <v>114</v>
      </c>
      <c r="K19" s="43">
        <v>129</v>
      </c>
      <c r="L19" s="43">
        <v>144</v>
      </c>
      <c r="M19" s="55">
        <v>157</v>
      </c>
    </row>
    <row r="20" spans="7:13" ht="15" customHeight="1">
      <c r="G20" s="50" t="s">
        <v>70</v>
      </c>
      <c r="H20" s="43">
        <v>85</v>
      </c>
      <c r="I20" s="43">
        <v>100</v>
      </c>
      <c r="J20" s="43">
        <v>115</v>
      </c>
      <c r="K20" s="43">
        <v>130</v>
      </c>
      <c r="L20" s="43">
        <v>145</v>
      </c>
      <c r="M20" s="55">
        <v>158</v>
      </c>
    </row>
    <row r="21" spans="7:13" ht="15" customHeight="1">
      <c r="G21" s="50" t="s">
        <v>71</v>
      </c>
      <c r="H21" s="43">
        <v>86</v>
      </c>
      <c r="I21" s="43">
        <v>101</v>
      </c>
      <c r="J21" s="43">
        <v>116</v>
      </c>
      <c r="K21" s="43">
        <v>131</v>
      </c>
      <c r="L21" s="43">
        <v>146</v>
      </c>
      <c r="M21" s="55">
        <v>159</v>
      </c>
    </row>
    <row r="22" spans="7:13" ht="15" customHeight="1">
      <c r="G22" s="50" t="s">
        <v>72</v>
      </c>
      <c r="H22" s="43">
        <v>87</v>
      </c>
      <c r="I22" s="43">
        <v>102</v>
      </c>
      <c r="J22" s="43">
        <v>117</v>
      </c>
      <c r="K22" s="43">
        <v>132</v>
      </c>
      <c r="L22" s="43">
        <v>147</v>
      </c>
      <c r="M22" s="155">
        <v>160</v>
      </c>
    </row>
    <row r="23" spans="7:13" ht="15" customHeight="1" thickBot="1">
      <c r="G23" s="51" t="s">
        <v>66</v>
      </c>
      <c r="H23" s="43">
        <v>88</v>
      </c>
      <c r="I23" s="43">
        <v>103</v>
      </c>
      <c r="J23" s="43">
        <v>118</v>
      </c>
      <c r="K23" s="43">
        <v>133</v>
      </c>
      <c r="L23" s="43">
        <v>148</v>
      </c>
      <c r="M23" s="156"/>
    </row>
  </sheetData>
  <sheetProtection/>
  <mergeCells count="2">
    <mergeCell ref="M22:M23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7">
      <selection activeCell="R22" sqref="R22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2"/>
  <sheetViews>
    <sheetView tabSelected="1" zoomScale="85" zoomScaleNormal="85" workbookViewId="0" topLeftCell="A1">
      <selection activeCell="A1" sqref="A1:B1"/>
    </sheetView>
  </sheetViews>
  <sheetFormatPr defaultColWidth="8.25390625" defaultRowHeight="15.75"/>
  <cols>
    <col min="1" max="1" width="12.625" style="1" customWidth="1"/>
    <col min="2" max="16384" width="8.25390625" style="1" customWidth="1"/>
  </cols>
  <sheetData>
    <row r="1" spans="1:12" ht="16.5" thickBot="1">
      <c r="A1" s="171" t="s">
        <v>0</v>
      </c>
      <c r="B1" s="172"/>
      <c r="D1" s="89" t="s">
        <v>17</v>
      </c>
      <c r="E1" s="47" t="s">
        <v>18</v>
      </c>
      <c r="F1" s="48" t="s">
        <v>19</v>
      </c>
      <c r="G1" s="89" t="s">
        <v>17</v>
      </c>
      <c r="H1" s="47" t="s">
        <v>18</v>
      </c>
      <c r="I1" s="48" t="s">
        <v>19</v>
      </c>
      <c r="J1" s="89" t="s">
        <v>60</v>
      </c>
      <c r="K1" s="95" t="s">
        <v>61</v>
      </c>
      <c r="L1" s="96" t="s">
        <v>62</v>
      </c>
    </row>
    <row r="2" spans="1:12" ht="15.75">
      <c r="A2" s="182" t="s">
        <v>16</v>
      </c>
      <c r="B2" s="183"/>
      <c r="D2" s="90" t="s">
        <v>51</v>
      </c>
      <c r="E2" s="4">
        <v>0</v>
      </c>
      <c r="F2" s="5">
        <v>0</v>
      </c>
      <c r="G2" s="90" t="s">
        <v>55</v>
      </c>
      <c r="H2" s="35">
        <f>(B3/2)*COS(B22)</f>
        <v>0.49992384757819563</v>
      </c>
      <c r="I2" s="36">
        <f>(B3/2)*SIN(B22)</f>
        <v>0.008726203218641756</v>
      </c>
      <c r="J2" s="37">
        <v>1.5</v>
      </c>
      <c r="K2" s="35">
        <f>J2*$B$8</f>
        <v>14.715</v>
      </c>
      <c r="L2" s="36">
        <v>2</v>
      </c>
    </row>
    <row r="3" spans="1:12" ht="15.75">
      <c r="A3" s="91" t="s">
        <v>53</v>
      </c>
      <c r="B3" s="6">
        <v>1</v>
      </c>
      <c r="D3" s="91" t="s">
        <v>52</v>
      </c>
      <c r="E3" s="7">
        <f>B3*COS(B22)</f>
        <v>0.9998476951563913</v>
      </c>
      <c r="F3" s="8">
        <f>B3*SIN(B22)</f>
        <v>0.01745240643728351</v>
      </c>
      <c r="G3" s="91" t="s">
        <v>56</v>
      </c>
      <c r="H3" s="7">
        <f>(E4+E3)/2</f>
        <v>1.4999238475781955</v>
      </c>
      <c r="I3" s="8">
        <f>(F3+F4)/2</f>
        <v>-1.9706179750580506</v>
      </c>
      <c r="J3" s="38">
        <v>2.5</v>
      </c>
      <c r="K3" s="35">
        <f>J3*$B$8</f>
        <v>24.525000000000002</v>
      </c>
      <c r="L3" s="8">
        <v>4</v>
      </c>
    </row>
    <row r="4" spans="1:12" ht="15.75">
      <c r="A4" s="91" t="s">
        <v>54</v>
      </c>
      <c r="B4" s="6">
        <f>4.1</f>
        <v>4.1</v>
      </c>
      <c r="D4" s="91" t="s">
        <v>34</v>
      </c>
      <c r="E4" s="6">
        <f>B5</f>
        <v>2</v>
      </c>
      <c r="F4" s="8">
        <f>F3-B4*SIN(B40)</f>
        <v>-3.9586883565533846</v>
      </c>
      <c r="G4" s="91" t="s">
        <v>57</v>
      </c>
      <c r="H4" s="7">
        <f>B5</f>
        <v>2</v>
      </c>
      <c r="I4" s="8">
        <v>-3</v>
      </c>
      <c r="J4" s="38">
        <v>1</v>
      </c>
      <c r="K4" s="35">
        <f>J4*$B$8</f>
        <v>9.81</v>
      </c>
      <c r="L4" s="8">
        <v>1.5</v>
      </c>
    </row>
    <row r="5" spans="1:12" ht="15.75">
      <c r="A5" s="93" t="s">
        <v>27</v>
      </c>
      <c r="B5" s="6">
        <v>2</v>
      </c>
      <c r="D5" s="91" t="s">
        <v>41</v>
      </c>
      <c r="E5" s="6">
        <v>3</v>
      </c>
      <c r="F5" s="9">
        <v>1</v>
      </c>
      <c r="G5" s="91" t="s">
        <v>58</v>
      </c>
      <c r="H5" s="7">
        <f>B5+(B6*COS(B56))/2</f>
        <v>2.570162921690314</v>
      </c>
      <c r="I5" s="8">
        <f>F4+(B6*SIN(B56))/2</f>
        <v>-1.1314281154291654</v>
      </c>
      <c r="J5" s="38">
        <v>1.4</v>
      </c>
      <c r="K5" s="35">
        <f>J5*$B$8</f>
        <v>13.734</v>
      </c>
      <c r="L5" s="8">
        <v>3</v>
      </c>
    </row>
    <row r="6" spans="1:12" ht="16.5" thickBot="1">
      <c r="A6" s="93" t="s">
        <v>35</v>
      </c>
      <c r="B6" s="7">
        <f>SQRT((B7+F5)^2+(E5-B5)^2)</f>
        <v>5.768357210961268</v>
      </c>
      <c r="D6" s="92" t="s">
        <v>46</v>
      </c>
      <c r="E6" s="10">
        <v>3</v>
      </c>
      <c r="F6" s="11">
        <v>1</v>
      </c>
      <c r="G6" s="92" t="s">
        <v>59</v>
      </c>
      <c r="H6" s="12">
        <v>4</v>
      </c>
      <c r="I6" s="39">
        <v>8</v>
      </c>
      <c r="J6" s="40">
        <v>1.2</v>
      </c>
      <c r="K6" s="42">
        <f>J6*$B$8</f>
        <v>11.772</v>
      </c>
      <c r="L6" s="39">
        <v>2.5</v>
      </c>
    </row>
    <row r="7" spans="1:9" ht="16.5" thickBot="1">
      <c r="A7" s="94" t="s">
        <v>36</v>
      </c>
      <c r="B7" s="12">
        <f>MAX((B53:Z53))</f>
        <v>4.681016186673723</v>
      </c>
      <c r="G7" s="89" t="s">
        <v>73</v>
      </c>
      <c r="H7" s="2">
        <v>3.5</v>
      </c>
      <c r="I7" s="3">
        <v>1.5</v>
      </c>
    </row>
    <row r="8" spans="1:2" ht="16.5" thickBot="1">
      <c r="A8" s="89" t="s">
        <v>65</v>
      </c>
      <c r="B8" s="41">
        <v>9.81</v>
      </c>
    </row>
    <row r="9" ht="16.5" thickBot="1"/>
    <row r="10" spans="1:12" ht="16.5" thickBot="1">
      <c r="A10" s="173" t="s">
        <v>1</v>
      </c>
      <c r="B10" s="174"/>
      <c r="D10" s="97" t="s">
        <v>143</v>
      </c>
      <c r="E10" s="98"/>
      <c r="F10" s="99"/>
      <c r="G10" s="15"/>
      <c r="H10" s="15"/>
      <c r="I10" s="15"/>
      <c r="J10" s="15"/>
      <c r="K10" s="15"/>
      <c r="L10" s="15"/>
    </row>
    <row r="11" spans="1:12" ht="15.75">
      <c r="A11" s="106" t="s">
        <v>8</v>
      </c>
      <c r="B11" s="16">
        <v>1</v>
      </c>
      <c r="C11" s="14"/>
      <c r="D11" s="103" t="s">
        <v>126</v>
      </c>
      <c r="E11" s="62">
        <v>1</v>
      </c>
      <c r="F11" s="56">
        <v>1.5</v>
      </c>
      <c r="G11" s="57">
        <v>2</v>
      </c>
      <c r="H11" s="15"/>
      <c r="I11" s="15"/>
      <c r="J11" s="15"/>
      <c r="K11" s="15"/>
      <c r="L11" s="15"/>
    </row>
    <row r="12" spans="1:12" ht="15.75">
      <c r="A12" s="107" t="s">
        <v>2</v>
      </c>
      <c r="B12" s="17">
        <v>361</v>
      </c>
      <c r="C12" s="14"/>
      <c r="D12" s="104" t="s">
        <v>127</v>
      </c>
      <c r="E12" s="63">
        <v>0.5</v>
      </c>
      <c r="F12" s="58">
        <v>1.3</v>
      </c>
      <c r="G12" s="59">
        <v>1.7</v>
      </c>
      <c r="H12" s="15"/>
      <c r="I12" s="15"/>
      <c r="J12" s="15"/>
      <c r="K12" s="15"/>
      <c r="L12" s="15"/>
    </row>
    <row r="13" spans="1:12" ht="16.5" thickBot="1">
      <c r="A13" s="107" t="s">
        <v>9</v>
      </c>
      <c r="B13" s="18">
        <v>24</v>
      </c>
      <c r="C13" s="14"/>
      <c r="D13" s="105" t="s">
        <v>128</v>
      </c>
      <c r="E13" s="64">
        <v>0.1</v>
      </c>
      <c r="F13" s="60">
        <v>1.5</v>
      </c>
      <c r="G13" s="61">
        <v>0.9</v>
      </c>
      <c r="H13" s="15"/>
      <c r="I13" s="15"/>
      <c r="J13" s="15"/>
      <c r="K13" s="15"/>
      <c r="L13" s="15"/>
    </row>
    <row r="14" spans="1:12" ht="16.5" thickBot="1">
      <c r="A14" s="108" t="s">
        <v>10</v>
      </c>
      <c r="B14" s="19">
        <f>(B12-B11)/B13</f>
        <v>15</v>
      </c>
      <c r="C14" s="14"/>
      <c r="D14" s="14"/>
      <c r="E14" s="15"/>
      <c r="F14" s="15"/>
      <c r="G14" s="15"/>
      <c r="H14" s="15"/>
      <c r="I14" s="15"/>
      <c r="J14" s="15"/>
      <c r="K14" s="15"/>
      <c r="L14" s="15"/>
    </row>
    <row r="15" spans="1:12" ht="16.5" thickBot="1">
      <c r="A15" s="109" t="s">
        <v>11</v>
      </c>
      <c r="B15" s="21">
        <v>1</v>
      </c>
      <c r="C15" s="14"/>
      <c r="D15" s="100" t="s">
        <v>195</v>
      </c>
      <c r="E15" s="101"/>
      <c r="F15" s="102"/>
      <c r="G15" s="154">
        <v>100</v>
      </c>
      <c r="H15" s="15"/>
      <c r="I15" s="15"/>
      <c r="J15" s="15"/>
      <c r="K15" s="15"/>
      <c r="L15" s="15"/>
    </row>
    <row r="16" spans="1:12" ht="15.75">
      <c r="A16" s="110" t="s">
        <v>12</v>
      </c>
      <c r="B16" s="18">
        <v>0</v>
      </c>
      <c r="C16" s="14"/>
      <c r="D16" s="14"/>
      <c r="E16" s="15"/>
      <c r="F16" s="15"/>
      <c r="G16" s="15"/>
      <c r="H16" s="15"/>
      <c r="I16" s="15"/>
      <c r="J16" s="15"/>
      <c r="K16" s="15"/>
      <c r="L16" s="15"/>
    </row>
    <row r="17" spans="1:12" ht="16.5" thickBot="1">
      <c r="A17" s="111" t="s">
        <v>13</v>
      </c>
      <c r="B17" s="19">
        <v>0</v>
      </c>
      <c r="C17" s="14"/>
      <c r="H17" s="15"/>
      <c r="I17" s="15"/>
      <c r="J17" s="15"/>
      <c r="K17" s="15"/>
      <c r="L17" s="15"/>
    </row>
    <row r="18" spans="3:12" ht="16.5" thickBot="1">
      <c r="C18" s="14"/>
      <c r="D18" s="14"/>
      <c r="E18" s="15"/>
      <c r="F18" s="15"/>
      <c r="G18" s="15"/>
      <c r="H18" s="15"/>
      <c r="I18" s="15"/>
      <c r="J18" s="15"/>
      <c r="K18" s="15"/>
      <c r="L18" s="15"/>
    </row>
    <row r="19" spans="1:12" ht="16.5" thickBot="1">
      <c r="A19" s="112" t="s">
        <v>64</v>
      </c>
      <c r="B19" s="113"/>
      <c r="C19" s="114"/>
      <c r="D19" s="14"/>
      <c r="E19" s="15"/>
      <c r="F19" s="15"/>
      <c r="G19" s="15"/>
      <c r="H19" s="15"/>
      <c r="I19" s="15"/>
      <c r="J19" s="15"/>
      <c r="K19" s="15"/>
      <c r="L19" s="15"/>
    </row>
    <row r="20" spans="1:12" ht="16.5" thickBot="1">
      <c r="A20" s="175" t="s">
        <v>141</v>
      </c>
      <c r="B20" s="176"/>
      <c r="C20" s="14"/>
      <c r="D20" s="14"/>
      <c r="E20" s="15"/>
      <c r="F20" s="15"/>
      <c r="G20" s="15"/>
      <c r="H20" s="15"/>
      <c r="I20" s="15"/>
      <c r="J20" s="15"/>
      <c r="K20" s="15"/>
      <c r="L20" s="15"/>
    </row>
    <row r="21" spans="1:26" ht="15.75">
      <c r="A21" s="115" t="s">
        <v>15</v>
      </c>
      <c r="B21" s="81">
        <f>B11</f>
        <v>1</v>
      </c>
      <c r="C21" s="22">
        <f>B21+$B$14</f>
        <v>16</v>
      </c>
      <c r="D21" s="22">
        <f aca="true" t="shared" si="0" ref="D21:Z21">C21+$B$14</f>
        <v>31</v>
      </c>
      <c r="E21" s="22">
        <f t="shared" si="0"/>
        <v>46</v>
      </c>
      <c r="F21" s="22">
        <f t="shared" si="0"/>
        <v>61</v>
      </c>
      <c r="G21" s="22">
        <f t="shared" si="0"/>
        <v>76</v>
      </c>
      <c r="H21" s="22">
        <f t="shared" si="0"/>
        <v>91</v>
      </c>
      <c r="I21" s="22">
        <f t="shared" si="0"/>
        <v>106</v>
      </c>
      <c r="J21" s="22">
        <f t="shared" si="0"/>
        <v>121</v>
      </c>
      <c r="K21" s="22">
        <f t="shared" si="0"/>
        <v>136</v>
      </c>
      <c r="L21" s="22">
        <f t="shared" si="0"/>
        <v>151</v>
      </c>
      <c r="M21" s="22">
        <f t="shared" si="0"/>
        <v>166</v>
      </c>
      <c r="N21" s="22">
        <f t="shared" si="0"/>
        <v>181</v>
      </c>
      <c r="O21" s="22">
        <f t="shared" si="0"/>
        <v>196</v>
      </c>
      <c r="P21" s="22">
        <f t="shared" si="0"/>
        <v>211</v>
      </c>
      <c r="Q21" s="22">
        <f t="shared" si="0"/>
        <v>226</v>
      </c>
      <c r="R21" s="22">
        <f t="shared" si="0"/>
        <v>241</v>
      </c>
      <c r="S21" s="22">
        <f t="shared" si="0"/>
        <v>256</v>
      </c>
      <c r="T21" s="22">
        <f t="shared" si="0"/>
        <v>271</v>
      </c>
      <c r="U21" s="22">
        <f t="shared" si="0"/>
        <v>286</v>
      </c>
      <c r="V21" s="22">
        <f t="shared" si="0"/>
        <v>301</v>
      </c>
      <c r="W21" s="22">
        <f t="shared" si="0"/>
        <v>316</v>
      </c>
      <c r="X21" s="22">
        <f t="shared" si="0"/>
        <v>331</v>
      </c>
      <c r="Y21" s="22">
        <f t="shared" si="0"/>
        <v>346</v>
      </c>
      <c r="Z21" s="23">
        <f t="shared" si="0"/>
        <v>361</v>
      </c>
    </row>
    <row r="22" spans="1:26" ht="15.75">
      <c r="A22" s="116" t="s">
        <v>28</v>
      </c>
      <c r="B22" s="82">
        <f>RADIANS(B21)</f>
        <v>0.017453292519943295</v>
      </c>
      <c r="C22" s="20">
        <f aca="true" t="shared" si="1" ref="C22:Z22">RADIANS(C21)</f>
        <v>0.2792526803190927</v>
      </c>
      <c r="D22" s="20">
        <f t="shared" si="1"/>
        <v>0.5410520681182421</v>
      </c>
      <c r="E22" s="20">
        <f t="shared" si="1"/>
        <v>0.8028514559173916</v>
      </c>
      <c r="F22" s="20">
        <f>RADIANS(F21)</f>
        <v>1.064650843716541</v>
      </c>
      <c r="G22" s="20">
        <f t="shared" si="1"/>
        <v>1.3264502315156905</v>
      </c>
      <c r="H22" s="20">
        <f t="shared" si="1"/>
        <v>1.5882496193148399</v>
      </c>
      <c r="I22" s="20">
        <f t="shared" si="1"/>
        <v>1.8500490071139892</v>
      </c>
      <c r="J22" s="20">
        <f t="shared" si="1"/>
        <v>2.111848394913139</v>
      </c>
      <c r="K22" s="20">
        <f t="shared" si="1"/>
        <v>2.3736477827122884</v>
      </c>
      <c r="L22" s="20">
        <f t="shared" si="1"/>
        <v>2.6354471705114375</v>
      </c>
      <c r="M22" s="20">
        <f t="shared" si="1"/>
        <v>2.897246558310587</v>
      </c>
      <c r="N22" s="20">
        <f t="shared" si="1"/>
        <v>3.1590459461097367</v>
      </c>
      <c r="O22" s="20">
        <f t="shared" si="1"/>
        <v>3.420845333908886</v>
      </c>
      <c r="P22" s="20">
        <f t="shared" si="1"/>
        <v>3.6826447217080354</v>
      </c>
      <c r="Q22" s="20">
        <f t="shared" si="1"/>
        <v>3.944444109507185</v>
      </c>
      <c r="R22" s="20">
        <f t="shared" si="1"/>
        <v>4.2062434973063345</v>
      </c>
      <c r="S22" s="20">
        <f t="shared" si="1"/>
        <v>4.468042885105484</v>
      </c>
      <c r="T22" s="20">
        <f t="shared" si="1"/>
        <v>4.729842272904633</v>
      </c>
      <c r="U22" s="20">
        <f t="shared" si="1"/>
        <v>4.991641660703783</v>
      </c>
      <c r="V22" s="20">
        <f t="shared" si="1"/>
        <v>5.253441048502932</v>
      </c>
      <c r="W22" s="20">
        <f t="shared" si="1"/>
        <v>5.515240436302081</v>
      </c>
      <c r="X22" s="20">
        <f t="shared" si="1"/>
        <v>5.777039824101231</v>
      </c>
      <c r="Y22" s="20">
        <f t="shared" si="1"/>
        <v>6.03883921190038</v>
      </c>
      <c r="Z22" s="24">
        <f t="shared" si="1"/>
        <v>6.300638599699529</v>
      </c>
    </row>
    <row r="23" spans="1:26" ht="15.75">
      <c r="A23" s="116" t="s">
        <v>3</v>
      </c>
      <c r="B23" s="82">
        <f>B22-$B$22</f>
        <v>0</v>
      </c>
      <c r="C23" s="20">
        <f aca="true" t="shared" si="2" ref="C23:Z23">C22-$B$22</f>
        <v>0.2617993877991494</v>
      </c>
      <c r="D23" s="20">
        <f t="shared" si="2"/>
        <v>0.5235987755982988</v>
      </c>
      <c r="E23" s="20">
        <f t="shared" si="2"/>
        <v>0.7853981633974483</v>
      </c>
      <c r="F23" s="20">
        <f t="shared" si="2"/>
        <v>1.0471975511965976</v>
      </c>
      <c r="G23" s="20">
        <f t="shared" si="2"/>
        <v>1.3089969389957472</v>
      </c>
      <c r="H23" s="20">
        <f t="shared" si="2"/>
        <v>1.5707963267948966</v>
      </c>
      <c r="I23" s="20">
        <f t="shared" si="2"/>
        <v>1.832595714594046</v>
      </c>
      <c r="J23" s="20">
        <f t="shared" si="2"/>
        <v>2.0943951023931957</v>
      </c>
      <c r="K23" s="20">
        <f t="shared" si="2"/>
        <v>2.3561944901923453</v>
      </c>
      <c r="L23" s="20">
        <f t="shared" si="2"/>
        <v>2.6179938779914944</v>
      </c>
      <c r="M23" s="20">
        <f t="shared" si="2"/>
        <v>2.879793265790644</v>
      </c>
      <c r="N23" s="20">
        <f t="shared" si="2"/>
        <v>3.1415926535897936</v>
      </c>
      <c r="O23" s="20">
        <f t="shared" si="2"/>
        <v>3.4033920413889427</v>
      </c>
      <c r="P23" s="20">
        <f t="shared" si="2"/>
        <v>3.6651914291880923</v>
      </c>
      <c r="Q23" s="20">
        <f t="shared" si="2"/>
        <v>3.926990816987242</v>
      </c>
      <c r="R23" s="20">
        <f t="shared" si="2"/>
        <v>4.188790204786391</v>
      </c>
      <c r="S23" s="20">
        <f t="shared" si="2"/>
        <v>4.4505895925855405</v>
      </c>
      <c r="T23" s="20">
        <f t="shared" si="2"/>
        <v>4.71238898038469</v>
      </c>
      <c r="U23" s="20">
        <f t="shared" si="2"/>
        <v>4.97418836818384</v>
      </c>
      <c r="V23" s="20">
        <f t="shared" si="2"/>
        <v>5.235987755982989</v>
      </c>
      <c r="W23" s="20">
        <f t="shared" si="2"/>
        <v>5.497787143782138</v>
      </c>
      <c r="X23" s="20">
        <f t="shared" si="2"/>
        <v>5.759586531581288</v>
      </c>
      <c r="Y23" s="20">
        <f t="shared" si="2"/>
        <v>6.021385919380437</v>
      </c>
      <c r="Z23" s="24">
        <f t="shared" si="2"/>
        <v>6.283185307179586</v>
      </c>
    </row>
    <row r="24" spans="1:26" ht="15.75">
      <c r="A24" s="116" t="s">
        <v>4</v>
      </c>
      <c r="B24" s="82">
        <f>B15</f>
        <v>1</v>
      </c>
      <c r="C24" s="20">
        <f>B24+B25*C26</f>
        <v>1</v>
      </c>
      <c r="D24" s="20">
        <f>C24+C25*D26</f>
        <v>1.1485209171247883</v>
      </c>
      <c r="E24" s="20">
        <f aca="true" t="shared" si="3" ref="E24:Z24">D24+D25*E26</f>
        <v>1.2858361633102986</v>
      </c>
      <c r="F24" s="20">
        <f t="shared" si="3"/>
        <v>1.4004147420314021</v>
      </c>
      <c r="G24" s="20">
        <f t="shared" si="3"/>
        <v>1.4918737690951334</v>
      </c>
      <c r="H24" s="20">
        <f t="shared" si="3"/>
        <v>1.5611258688724177</v>
      </c>
      <c r="I24" s="20">
        <f t="shared" si="3"/>
        <v>1.6092496758832608</v>
      </c>
      <c r="J24" s="20">
        <f t="shared" si="3"/>
        <v>1.6371971731714887</v>
      </c>
      <c r="K24" s="20">
        <f t="shared" si="3"/>
        <v>1.6457997231987107</v>
      </c>
      <c r="L24" s="20">
        <f t="shared" si="3"/>
        <v>1.6358548594014017</v>
      </c>
      <c r="M24" s="20">
        <f t="shared" si="3"/>
        <v>1.6080773491265246</v>
      </c>
      <c r="N24" s="20">
        <f t="shared" si="3"/>
        <v>1.5626356022631196</v>
      </c>
      <c r="O24" s="20">
        <f t="shared" si="3"/>
        <v>1.4980630695378496</v>
      </c>
      <c r="P24" s="20">
        <f t="shared" si="3"/>
        <v>1.4103561869030776</v>
      </c>
      <c r="Q24" s="20">
        <f t="shared" si="3"/>
        <v>1.2946890134285711</v>
      </c>
      <c r="R24" s="20">
        <f t="shared" si="3"/>
        <v>1.150622870231468</v>
      </c>
      <c r="S24" s="20">
        <f t="shared" si="3"/>
        <v>0.987069988118189</v>
      </c>
      <c r="T24" s="20">
        <f t="shared" si="3"/>
        <v>0.8228175173581835</v>
      </c>
      <c r="U24" s="20">
        <f t="shared" si="3"/>
        <v>0.6831718863564876</v>
      </c>
      <c r="V24" s="20">
        <f t="shared" si="3"/>
        <v>0.5965161253952492</v>
      </c>
      <c r="W24" s="20">
        <f t="shared" si="3"/>
        <v>0.5887594361495712</v>
      </c>
      <c r="X24" s="20">
        <f t="shared" si="3"/>
        <v>0.6647970095995697</v>
      </c>
      <c r="Y24" s="20">
        <f t="shared" si="3"/>
        <v>0.7965800556103857</v>
      </c>
      <c r="Z24" s="24">
        <f t="shared" si="3"/>
        <v>0.9502719483572716</v>
      </c>
    </row>
    <row r="25" spans="1:26" ht="15.75">
      <c r="A25" s="116" t="s">
        <v>5</v>
      </c>
      <c r="B25" s="82">
        <f>B16</f>
        <v>0</v>
      </c>
      <c r="C25" s="20">
        <f aca="true" t="shared" si="4" ref="C25:Z25">B217/$G$15</f>
        <v>0.5673081147108429</v>
      </c>
      <c r="D25" s="20">
        <f t="shared" si="4"/>
        <v>0.6024056580498649</v>
      </c>
      <c r="E25" s="20">
        <f t="shared" si="4"/>
        <v>0.5627563964103719</v>
      </c>
      <c r="F25" s="20">
        <f t="shared" si="4"/>
        <v>0.4892317391137698</v>
      </c>
      <c r="G25" s="20">
        <f t="shared" si="4"/>
        <v>0.3946357246326038</v>
      </c>
      <c r="H25" s="20">
        <f t="shared" si="4"/>
        <v>0.2869652242689287</v>
      </c>
      <c r="I25" s="20">
        <f t="shared" si="4"/>
        <v>0.17178993935361309</v>
      </c>
      <c r="J25" s="20">
        <f t="shared" si="4"/>
        <v>0.0537971868652317</v>
      </c>
      <c r="K25" s="20">
        <f t="shared" si="4"/>
        <v>-0.06251830541871617</v>
      </c>
      <c r="L25" s="20">
        <f t="shared" si="4"/>
        <v>-0.17356791987646475</v>
      </c>
      <c r="M25" s="20">
        <f t="shared" si="4"/>
        <v>-0.2791215229725614</v>
      </c>
      <c r="N25" s="20">
        <f t="shared" si="4"/>
        <v>-0.3854223625695395</v>
      </c>
      <c r="O25" s="20">
        <f t="shared" si="4"/>
        <v>-0.5018745189742166</v>
      </c>
      <c r="P25" s="20">
        <f t="shared" si="4"/>
        <v>-0.623118010713285</v>
      </c>
      <c r="Q25" s="20">
        <f t="shared" si="4"/>
        <v>-0.7124571771245466</v>
      </c>
      <c r="R25" s="20">
        <f t="shared" si="4"/>
        <v>-0.7188240134319428</v>
      </c>
      <c r="S25" s="20">
        <f t="shared" si="4"/>
        <v>-0.6192859567946963</v>
      </c>
      <c r="T25" s="20">
        <f t="shared" si="4"/>
        <v>-0.43889663905129067</v>
      </c>
      <c r="U25" s="20">
        <f t="shared" si="4"/>
        <v>-0.22613032130145622</v>
      </c>
      <c r="V25" s="20">
        <f t="shared" si="4"/>
        <v>-0.017673800743478796</v>
      </c>
      <c r="W25" s="20">
        <f t="shared" si="4"/>
        <v>0.17100054834714962</v>
      </c>
      <c r="X25" s="20">
        <f t="shared" si="4"/>
        <v>0.3346416339641178</v>
      </c>
      <c r="Y25" s="20">
        <f t="shared" si="4"/>
        <v>0.46764011749754636</v>
      </c>
      <c r="Z25" s="24">
        <f t="shared" si="4"/>
        <v>0.5611691015608955</v>
      </c>
    </row>
    <row r="26" spans="1:26" ht="15.75">
      <c r="A26" s="116" t="s">
        <v>6</v>
      </c>
      <c r="B26" s="82">
        <f>B23/B24</f>
        <v>0</v>
      </c>
      <c r="C26" s="20">
        <f>(C22-B22)/B24</f>
        <v>0.2617993877991494</v>
      </c>
      <c r="D26" s="20">
        <f aca="true" t="shared" si="5" ref="D26:Z26">(D22-C22)/C24</f>
        <v>0.2617993877991494</v>
      </c>
      <c r="E26" s="20">
        <f t="shared" si="5"/>
        <v>0.22794481484459078</v>
      </c>
      <c r="F26" s="20">
        <f t="shared" si="5"/>
        <v>0.2036024458397285</v>
      </c>
      <c r="G26" s="20">
        <f t="shared" si="5"/>
        <v>0.18694418156394924</v>
      </c>
      <c r="H26" s="20">
        <f t="shared" si="5"/>
        <v>0.17548360539775334</v>
      </c>
      <c r="I26" s="20">
        <f t="shared" si="5"/>
        <v>0.1676990901369432</v>
      </c>
      <c r="J26" s="20">
        <f t="shared" si="5"/>
        <v>0.1626841326877739</v>
      </c>
      <c r="K26" s="20">
        <f t="shared" si="5"/>
        <v>0.159907060731119</v>
      </c>
      <c r="L26" s="20">
        <f t="shared" si="5"/>
        <v>0.15907123090914504</v>
      </c>
      <c r="M26" s="20">
        <f t="shared" si="5"/>
        <v>0.16003827374694365</v>
      </c>
      <c r="N26" s="20">
        <f t="shared" si="5"/>
        <v>0.16280273330219705</v>
      </c>
      <c r="O26" s="20">
        <f t="shared" si="5"/>
        <v>0.1675370684118503</v>
      </c>
      <c r="P26" s="20">
        <f t="shared" si="5"/>
        <v>0.17475858868873545</v>
      </c>
      <c r="Q26" s="20">
        <f t="shared" si="5"/>
        <v>0.1856264326914609</v>
      </c>
      <c r="R26" s="20">
        <f t="shared" si="5"/>
        <v>0.20221024901250792</v>
      </c>
      <c r="S26" s="20">
        <f t="shared" si="5"/>
        <v>0.2275284061983607</v>
      </c>
      <c r="T26" s="20">
        <f t="shared" si="5"/>
        <v>0.2652287993258306</v>
      </c>
      <c r="U26" s="20">
        <f t="shared" si="5"/>
        <v>0.31817430022601867</v>
      </c>
      <c r="V26" s="20">
        <f t="shared" si="5"/>
        <v>0.3832115943695888</v>
      </c>
      <c r="W26" s="20">
        <f t="shared" si="5"/>
        <v>0.43888065494571815</v>
      </c>
      <c r="X26" s="20">
        <f t="shared" si="5"/>
        <v>0.44466274631841535</v>
      </c>
      <c r="Y26" s="20">
        <f t="shared" si="5"/>
        <v>0.39380349793817515</v>
      </c>
      <c r="Z26" s="24">
        <f t="shared" si="5"/>
        <v>0.3286542086451603</v>
      </c>
    </row>
    <row r="27" spans="1:26" ht="16.5" thickBot="1">
      <c r="A27" s="116" t="s">
        <v>14</v>
      </c>
      <c r="B27" s="83">
        <f>B22</f>
        <v>0.017453292519943295</v>
      </c>
      <c r="C27" s="84">
        <f>B27+B24*C26</f>
        <v>0.2792526803190927</v>
      </c>
      <c r="D27" s="84">
        <f>C27+C24*D26</f>
        <v>0.5410520681182421</v>
      </c>
      <c r="E27" s="84">
        <f>D27+D24*E26</f>
        <v>0.8028514559173916</v>
      </c>
      <c r="F27" s="84">
        <f aca="true" t="shared" si="6" ref="F27:Z27">E27+E24*F26</f>
        <v>1.064650843716541</v>
      </c>
      <c r="G27" s="84">
        <f t="shared" si="6"/>
        <v>1.3264502315156905</v>
      </c>
      <c r="H27" s="84">
        <f t="shared" si="6"/>
        <v>1.5882496193148399</v>
      </c>
      <c r="I27" s="84">
        <f t="shared" si="6"/>
        <v>1.8500490071139892</v>
      </c>
      <c r="J27" s="84">
        <f t="shared" si="6"/>
        <v>2.111848394913139</v>
      </c>
      <c r="K27" s="84">
        <f t="shared" si="6"/>
        <v>2.3736477827122884</v>
      </c>
      <c r="L27" s="84">
        <f t="shared" si="6"/>
        <v>2.6354471705114375</v>
      </c>
      <c r="M27" s="84">
        <f t="shared" si="6"/>
        <v>2.897246558310587</v>
      </c>
      <c r="N27" s="84">
        <f t="shared" si="6"/>
        <v>3.1590459461097367</v>
      </c>
      <c r="O27" s="84">
        <f t="shared" si="6"/>
        <v>3.420845333908886</v>
      </c>
      <c r="P27" s="84">
        <f t="shared" si="6"/>
        <v>3.6826447217080354</v>
      </c>
      <c r="Q27" s="84">
        <f t="shared" si="6"/>
        <v>3.944444109507185</v>
      </c>
      <c r="R27" s="84">
        <f t="shared" si="6"/>
        <v>4.2062434973063345</v>
      </c>
      <c r="S27" s="84">
        <f t="shared" si="6"/>
        <v>4.468042885105484</v>
      </c>
      <c r="T27" s="84">
        <f t="shared" si="6"/>
        <v>4.729842272904633</v>
      </c>
      <c r="U27" s="84">
        <f t="shared" si="6"/>
        <v>4.991641660703783</v>
      </c>
      <c r="V27" s="84">
        <f t="shared" si="6"/>
        <v>5.253441048502932</v>
      </c>
      <c r="W27" s="84">
        <f t="shared" si="6"/>
        <v>5.515240436302081</v>
      </c>
      <c r="X27" s="84">
        <f t="shared" si="6"/>
        <v>5.777039824101231</v>
      </c>
      <c r="Y27" s="84">
        <f t="shared" si="6"/>
        <v>6.03883921190038</v>
      </c>
      <c r="Z27" s="85">
        <f t="shared" si="6"/>
        <v>6.300638599699529</v>
      </c>
    </row>
    <row r="28" spans="1:26" ht="16.5" thickBot="1">
      <c r="A28" s="66" t="s">
        <v>7</v>
      </c>
      <c r="B28" s="67">
        <f>B27-B22</f>
        <v>0</v>
      </c>
      <c r="C28" s="67">
        <f aca="true" t="shared" si="7" ref="C28:Z28">C27-C22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  <c r="H28" s="67">
        <f t="shared" si="7"/>
        <v>0</v>
      </c>
      <c r="I28" s="67">
        <f t="shared" si="7"/>
        <v>0</v>
      </c>
      <c r="J28" s="67">
        <f t="shared" si="7"/>
        <v>0</v>
      </c>
      <c r="K28" s="67">
        <f t="shared" si="7"/>
        <v>0</v>
      </c>
      <c r="L28" s="67">
        <f t="shared" si="7"/>
        <v>0</v>
      </c>
      <c r="M28" s="67">
        <f t="shared" si="7"/>
        <v>0</v>
      </c>
      <c r="N28" s="67">
        <f t="shared" si="7"/>
        <v>0</v>
      </c>
      <c r="O28" s="67">
        <f t="shared" si="7"/>
        <v>0</v>
      </c>
      <c r="P28" s="67">
        <f t="shared" si="7"/>
        <v>0</v>
      </c>
      <c r="Q28" s="67">
        <f t="shared" si="7"/>
        <v>0</v>
      </c>
      <c r="R28" s="67">
        <f t="shared" si="7"/>
        <v>0</v>
      </c>
      <c r="S28" s="67">
        <f t="shared" si="7"/>
        <v>0</v>
      </c>
      <c r="T28" s="67">
        <f t="shared" si="7"/>
        <v>0</v>
      </c>
      <c r="U28" s="67">
        <f t="shared" si="7"/>
        <v>0</v>
      </c>
      <c r="V28" s="67">
        <f t="shared" si="7"/>
        <v>0</v>
      </c>
      <c r="W28" s="67">
        <f t="shared" si="7"/>
        <v>0</v>
      </c>
      <c r="X28" s="67">
        <f t="shared" si="7"/>
        <v>0</v>
      </c>
      <c r="Y28" s="67">
        <f t="shared" si="7"/>
        <v>0</v>
      </c>
      <c r="Z28" s="68">
        <f t="shared" si="7"/>
        <v>0</v>
      </c>
    </row>
    <row r="29" ht="16.5" thickBot="1"/>
    <row r="30" spans="1:2" ht="16.5" thickBot="1">
      <c r="A30" s="177" t="s">
        <v>140</v>
      </c>
      <c r="B30" s="178"/>
    </row>
    <row r="31" spans="1:26" ht="15.75">
      <c r="A31" s="123" t="s">
        <v>20</v>
      </c>
      <c r="B31" s="25">
        <f aca="true" t="shared" si="8" ref="B31:Z31">$E$3*COS(B23)-$F$3*SIN(B23)</f>
        <v>0.9998476951563913</v>
      </c>
      <c r="C31" s="25">
        <f t="shared" si="8"/>
        <v>0.9612616959383189</v>
      </c>
      <c r="D31" s="25">
        <f t="shared" si="8"/>
        <v>0.8571673007021124</v>
      </c>
      <c r="E31" s="25">
        <f t="shared" si="8"/>
        <v>0.6946583704589974</v>
      </c>
      <c r="F31" s="25">
        <f t="shared" si="8"/>
        <v>0.48480962024633717</v>
      </c>
      <c r="G31" s="25">
        <f t="shared" si="8"/>
        <v>0.24192189559966773</v>
      </c>
      <c r="H31" s="25">
        <f t="shared" si="8"/>
        <v>-0.01745240643728345</v>
      </c>
      <c r="I31" s="25">
        <f t="shared" si="8"/>
        <v>-0.2756373558169991</v>
      </c>
      <c r="J31" s="25">
        <f t="shared" si="8"/>
        <v>-0.5150380749100545</v>
      </c>
      <c r="K31" s="25">
        <f t="shared" si="8"/>
        <v>-0.7193398003386514</v>
      </c>
      <c r="L31" s="25">
        <f t="shared" si="8"/>
        <v>-0.8746197071393959</v>
      </c>
      <c r="M31" s="25">
        <f t="shared" si="8"/>
        <v>-0.9702957262759966</v>
      </c>
      <c r="N31" s="25">
        <f t="shared" si="8"/>
        <v>-0.9998476951563913</v>
      </c>
      <c r="O31" s="25">
        <f t="shared" si="8"/>
        <v>-0.9612616959383189</v>
      </c>
      <c r="P31" s="25">
        <f t="shared" si="8"/>
        <v>-0.8571673007021123</v>
      </c>
      <c r="Q31" s="25">
        <f t="shared" si="8"/>
        <v>-0.6946583704589971</v>
      </c>
      <c r="R31" s="25">
        <f t="shared" si="8"/>
        <v>-0.48480962024633667</v>
      </c>
      <c r="S31" s="25">
        <f t="shared" si="8"/>
        <v>-0.24192189559966762</v>
      </c>
      <c r="T31" s="25">
        <f t="shared" si="8"/>
        <v>0.017452406437283328</v>
      </c>
      <c r="U31" s="25">
        <f t="shared" si="8"/>
        <v>0.27563735581699955</v>
      </c>
      <c r="V31" s="25">
        <f t="shared" si="8"/>
        <v>0.5150380749100544</v>
      </c>
      <c r="W31" s="25">
        <f t="shared" si="8"/>
        <v>0.719339800338651</v>
      </c>
      <c r="X31" s="25">
        <f t="shared" si="8"/>
        <v>0.874619707139396</v>
      </c>
      <c r="Y31" s="25">
        <f t="shared" si="8"/>
        <v>0.9702957262759966</v>
      </c>
      <c r="Z31" s="26">
        <f t="shared" si="8"/>
        <v>0.9998476951563913</v>
      </c>
    </row>
    <row r="32" spans="1:26" ht="15.75">
      <c r="A32" s="124" t="s">
        <v>21</v>
      </c>
      <c r="B32" s="27">
        <f aca="true" t="shared" si="9" ref="B32:Z32">$E$3*SIN(B23)+$F$3*COS(B23)</f>
        <v>0.01745240643728351</v>
      </c>
      <c r="C32" s="27">
        <f t="shared" si="9"/>
        <v>0.2756373558169992</v>
      </c>
      <c r="D32" s="27">
        <f t="shared" si="9"/>
        <v>0.5150380749100542</v>
      </c>
      <c r="E32" s="27">
        <f t="shared" si="9"/>
        <v>0.7193398003386511</v>
      </c>
      <c r="F32" s="27">
        <f t="shared" si="9"/>
        <v>0.8746197071393957</v>
      </c>
      <c r="G32" s="27">
        <f t="shared" si="9"/>
        <v>0.9702957262759966</v>
      </c>
      <c r="H32" s="27">
        <f t="shared" si="9"/>
        <v>0.9998476951563913</v>
      </c>
      <c r="I32" s="27">
        <f t="shared" si="9"/>
        <v>0.9612616959383189</v>
      </c>
      <c r="J32" s="27">
        <f t="shared" si="9"/>
        <v>0.8571673007021121</v>
      </c>
      <c r="K32" s="27">
        <f t="shared" si="9"/>
        <v>0.694658370458997</v>
      </c>
      <c r="L32" s="27">
        <f t="shared" si="9"/>
        <v>0.484809620246337</v>
      </c>
      <c r="M32" s="27">
        <f t="shared" si="9"/>
        <v>0.24192189559966756</v>
      </c>
      <c r="N32" s="27">
        <f t="shared" si="9"/>
        <v>-0.017452406437283834</v>
      </c>
      <c r="O32" s="27">
        <f t="shared" si="9"/>
        <v>-0.2756373558169992</v>
      </c>
      <c r="P32" s="27">
        <f t="shared" si="9"/>
        <v>-0.5150380749100544</v>
      </c>
      <c r="Q32" s="27">
        <f t="shared" si="9"/>
        <v>-0.7193398003386513</v>
      </c>
      <c r="R32" s="27">
        <f t="shared" si="9"/>
        <v>-0.874619707139396</v>
      </c>
      <c r="S32" s="27">
        <f t="shared" si="9"/>
        <v>-0.9702957262759966</v>
      </c>
      <c r="T32" s="27">
        <f t="shared" si="9"/>
        <v>-0.9998476951563913</v>
      </c>
      <c r="U32" s="27">
        <f t="shared" si="9"/>
        <v>-0.9612616959383188</v>
      </c>
      <c r="V32" s="27">
        <f t="shared" si="9"/>
        <v>-0.8571673007021123</v>
      </c>
      <c r="W32" s="27">
        <f t="shared" si="9"/>
        <v>-0.6946583704589975</v>
      </c>
      <c r="X32" s="27">
        <f t="shared" si="9"/>
        <v>-0.4848096202463367</v>
      </c>
      <c r="Y32" s="27">
        <f t="shared" si="9"/>
        <v>-0.24192189559966767</v>
      </c>
      <c r="Z32" s="28">
        <f t="shared" si="9"/>
        <v>0.017452406437283265</v>
      </c>
    </row>
    <row r="33" spans="1:26" ht="15.75">
      <c r="A33" s="124" t="s">
        <v>22</v>
      </c>
      <c r="B33" s="27">
        <f>-B24*B32</f>
        <v>-0.01745240643728351</v>
      </c>
      <c r="C33" s="27">
        <f aca="true" t="shared" si="10" ref="C33:Z33">-C24*C32</f>
        <v>-0.2756373558169992</v>
      </c>
      <c r="D33" s="27">
        <f t="shared" si="10"/>
        <v>-0.5915320021498808</v>
      </c>
      <c r="E33" s="27">
        <f t="shared" si="10"/>
        <v>-0.9249531289838473</v>
      </c>
      <c r="F33" s="27">
        <f t="shared" si="10"/>
        <v>-1.2248303315491973</v>
      </c>
      <c r="G33" s="27">
        <f t="shared" si="10"/>
        <v>-1.4475587422962708</v>
      </c>
      <c r="H33" s="27">
        <f t="shared" si="10"/>
        <v>-1.5608881018411056</v>
      </c>
      <c r="I33" s="27">
        <f t="shared" si="10"/>
        <v>-1.5469100726277334</v>
      </c>
      <c r="J33" s="27">
        <f t="shared" si="10"/>
        <v>-1.4033518816445334</v>
      </c>
      <c r="K33" s="27">
        <f t="shared" si="10"/>
        <v>-1.1432685538190848</v>
      </c>
      <c r="L33" s="27">
        <f t="shared" si="10"/>
        <v>-0.7930781731645186</v>
      </c>
      <c r="M33" s="27">
        <f t="shared" si="10"/>
        <v>-0.38902912057157724</v>
      </c>
      <c r="N33" s="27">
        <f t="shared" si="10"/>
        <v>0.02727175164406577</v>
      </c>
      <c r="O33" s="27">
        <f t="shared" si="10"/>
        <v>0.4129221433345103</v>
      </c>
      <c r="P33" s="27">
        <f t="shared" si="10"/>
        <v>0.726387135440046</v>
      </c>
      <c r="Q33" s="27">
        <f t="shared" si="10"/>
        <v>0.9313213364203538</v>
      </c>
      <c r="R33" s="27">
        <f t="shared" si="10"/>
        <v>1.0063574377897377</v>
      </c>
      <c r="S33" s="27">
        <f t="shared" si="10"/>
        <v>0.9577497910063776</v>
      </c>
      <c r="T33" s="27">
        <f t="shared" si="10"/>
        <v>0.8226921982648838</v>
      </c>
      <c r="U33" s="27">
        <f t="shared" si="10"/>
        <v>0.6567069660964177</v>
      </c>
      <c r="V33" s="27">
        <f t="shared" si="10"/>
        <v>0.5113141170303286</v>
      </c>
      <c r="W33" s="27">
        <f t="shared" si="10"/>
        <v>0.4089866705080193</v>
      </c>
      <c r="X33" s="27">
        <f t="shared" si="10"/>
        <v>0.3222999857648676</v>
      </c>
      <c r="Y33" s="27">
        <f t="shared" si="10"/>
        <v>0.1927101570501532</v>
      </c>
      <c r="Z33" s="28">
        <f t="shared" si="10"/>
        <v>-0.016584532268680157</v>
      </c>
    </row>
    <row r="34" spans="1:26" ht="15.75">
      <c r="A34" s="124" t="s">
        <v>23</v>
      </c>
      <c r="B34" s="27">
        <f>B24*B31</f>
        <v>0.9998476951563913</v>
      </c>
      <c r="C34" s="27">
        <f>C24*C31</f>
        <v>0.9612616959383189</v>
      </c>
      <c r="D34" s="27">
        <f aca="true" t="shared" si="11" ref="D34:Z34">D24*D31</f>
        <v>0.9844745743317694</v>
      </c>
      <c r="E34" s="27">
        <f t="shared" si="11"/>
        <v>0.8932168538823813</v>
      </c>
      <c r="F34" s="27">
        <f t="shared" si="11"/>
        <v>0.6789345392716163</v>
      </c>
      <c r="G34" s="27">
        <f t="shared" si="11"/>
        <v>0.36091693021491567</v>
      </c>
      <c r="H34" s="27">
        <f t="shared" si="11"/>
        <v>-0.0272454031633187</v>
      </c>
      <c r="I34" s="27">
        <f t="shared" si="11"/>
        <v>-0.44356932550982486</v>
      </c>
      <c r="J34" s="27">
        <f t="shared" si="11"/>
        <v>-0.8432188803184266</v>
      </c>
      <c r="K34" s="27">
        <f t="shared" si="11"/>
        <v>-1.1838892442831683</v>
      </c>
      <c r="L34" s="27">
        <f t="shared" si="11"/>
        <v>-1.4307508980522117</v>
      </c>
      <c r="M34" s="27">
        <f t="shared" si="11"/>
        <v>-1.5603105793787004</v>
      </c>
      <c r="N34" s="27">
        <f t="shared" si="11"/>
        <v>-1.5623976052920994</v>
      </c>
      <c r="O34" s="27">
        <f t="shared" si="11"/>
        <v>-1.4400306468465172</v>
      </c>
      <c r="P34" s="27">
        <f t="shared" si="11"/>
        <v>-1.2089112057562348</v>
      </c>
      <c r="Q34" s="27">
        <f t="shared" si="11"/>
        <v>-0.8993665603194578</v>
      </c>
      <c r="R34" s="27">
        <f t="shared" si="11"/>
        <v>-0.5578330367636679</v>
      </c>
      <c r="S34" s="27">
        <f t="shared" si="11"/>
        <v>-0.23879384261509368</v>
      </c>
      <c r="T34" s="27">
        <f t="shared" si="11"/>
        <v>0.01436014573665145</v>
      </c>
      <c r="U34" s="27">
        <f t="shared" si="11"/>
        <v>0.18830769232381397</v>
      </c>
      <c r="V34" s="27">
        <f t="shared" si="11"/>
        <v>0.30722851687637376</v>
      </c>
      <c r="W34" s="27">
        <f t="shared" si="11"/>
        <v>0.42351809524732925</v>
      </c>
      <c r="X34" s="27">
        <f t="shared" si="11"/>
        <v>0.5814445658431219</v>
      </c>
      <c r="Y34" s="27">
        <f t="shared" si="11"/>
        <v>0.7729182235954529</v>
      </c>
      <c r="Z34" s="28">
        <f t="shared" si="11"/>
        <v>0.9501272173367913</v>
      </c>
    </row>
    <row r="35" spans="1:26" ht="15.75">
      <c r="A35" s="124" t="s">
        <v>24</v>
      </c>
      <c r="B35" s="27">
        <f>-B25*B32-B24^2*B34</f>
        <v>-0.9998476951563913</v>
      </c>
      <c r="C35" s="27">
        <f aca="true" t="shared" si="12" ref="C35:Z35">-C25*C32-C24^2*C34</f>
        <v>-1.1176330046107426</v>
      </c>
      <c r="D35" s="27">
        <f t="shared" si="12"/>
        <v>-1.6088825538989413</v>
      </c>
      <c r="E35" s="27">
        <f t="shared" si="12"/>
        <v>-1.881635167059365</v>
      </c>
      <c r="F35" s="27">
        <f t="shared" si="12"/>
        <v>-1.7593919656755461</v>
      </c>
      <c r="G35" s="27">
        <f t="shared" si="12"/>
        <v>-1.186201600469603</v>
      </c>
      <c r="H35" s="27">
        <f t="shared" si="12"/>
        <v>-0.22052136517715043</v>
      </c>
      <c r="I35" s="27">
        <f t="shared" si="12"/>
        <v>0.9835695270744167</v>
      </c>
      <c r="J35" s="27">
        <f t="shared" si="12"/>
        <v>2.21406299472471</v>
      </c>
      <c r="K35" s="27">
        <f t="shared" si="12"/>
        <v>3.2501784319434135</v>
      </c>
      <c r="L35" s="27">
        <f t="shared" si="12"/>
        <v>3.9128670194385795</v>
      </c>
      <c r="M35" s="27">
        <f t="shared" si="12"/>
        <v>4.102352645925915</v>
      </c>
      <c r="N35" s="27">
        <f t="shared" si="12"/>
        <v>3.8083828365878154</v>
      </c>
      <c r="O35" s="27">
        <f t="shared" si="12"/>
        <v>3.0933712749261844</v>
      </c>
      <c r="P35" s="27">
        <f t="shared" si="12"/>
        <v>2.0837213081724033</v>
      </c>
      <c r="Q35" s="27">
        <f t="shared" si="12"/>
        <v>0.995037089766546</v>
      </c>
      <c r="R35" s="27">
        <f t="shared" si="12"/>
        <v>0.10983591189160868</v>
      </c>
      <c r="S35" s="27">
        <f t="shared" si="12"/>
        <v>-0.3682319662521037</v>
      </c>
      <c r="T35" s="27">
        <f t="shared" si="12"/>
        <v>-0.4485520232914849</v>
      </c>
      <c r="U35" s="27">
        <f t="shared" si="12"/>
        <v>-0.3052581028418925</v>
      </c>
      <c r="V35" s="27">
        <f t="shared" si="12"/>
        <v>-0.12447098434851926</v>
      </c>
      <c r="W35" s="27">
        <f t="shared" si="12"/>
        <v>-0.028020365024973126</v>
      </c>
      <c r="X35" s="27">
        <f t="shared" si="12"/>
        <v>-0.09473488681291947</v>
      </c>
      <c r="Y35" s="27">
        <f t="shared" si="12"/>
        <v>-0.3773149797364807</v>
      </c>
      <c r="Z35" s="28">
        <f t="shared" si="12"/>
        <v>-0.8677745676727743</v>
      </c>
    </row>
    <row r="36" spans="1:26" ht="16.5" thickBot="1">
      <c r="A36" s="124" t="s">
        <v>25</v>
      </c>
      <c r="B36" s="27">
        <f>B25*B31+B24^2*B33</f>
        <v>-0.01745240643728351</v>
      </c>
      <c r="C36" s="27">
        <f>C25*C31+C24^2*C33</f>
        <v>0.269694204649516</v>
      </c>
      <c r="D36" s="27">
        <f>D25*D31+D24*D33</f>
        <v>-0.16302444577956088</v>
      </c>
      <c r="E36" s="27">
        <f aca="true" t="shared" si="13" ref="E36:Z36">E25*E31+E24*E33</f>
        <v>-0.7984147413186395</v>
      </c>
      <c r="F36" s="27">
        <f t="shared" si="13"/>
        <v>-1.478086199136504</v>
      </c>
      <c r="G36" s="27">
        <f t="shared" si="13"/>
        <v>-2.0641038942816805</v>
      </c>
      <c r="H36" s="27">
        <f t="shared" si="13"/>
        <v>-2.4417510279266224</v>
      </c>
      <c r="I36" s="27">
        <f t="shared" si="13"/>
        <v>-2.5367162576361237</v>
      </c>
      <c r="J36" s="27">
        <f t="shared" si="13"/>
        <v>-2.325271333151965</v>
      </c>
      <c r="K36" s="27">
        <f t="shared" si="13"/>
        <v>-1.83661916407983</v>
      </c>
      <c r="L36" s="27">
        <f t="shared" si="13"/>
        <v>-1.1455548602052164</v>
      </c>
      <c r="M36" s="27">
        <f t="shared" si="13"/>
        <v>-0.3547584960898413</v>
      </c>
      <c r="N36" s="27">
        <f t="shared" si="13"/>
        <v>0.42797947093197997</v>
      </c>
      <c r="O36" s="27">
        <f t="shared" si="13"/>
        <v>1.101016164781228</v>
      </c>
      <c r="P36" s="27">
        <f t="shared" si="13"/>
        <v>1.558580973816649</v>
      </c>
      <c r="Q36" s="27">
        <f t="shared" si="13"/>
        <v>1.7006858439182007</v>
      </c>
      <c r="R36" s="27">
        <f t="shared" si="13"/>
        <v>1.5064306805243017</v>
      </c>
      <c r="S36" s="27">
        <f t="shared" si="13"/>
        <v>1.09518490741489</v>
      </c>
      <c r="T36" s="27">
        <f t="shared" si="13"/>
        <v>0.6692657495975775</v>
      </c>
      <c r="U36" s="27">
        <f t="shared" si="13"/>
        <v>0.3863137729779537</v>
      </c>
      <c r="V36" s="27">
        <f t="shared" si="13"/>
        <v>0.2959044356395594</v>
      </c>
      <c r="W36" s="27">
        <f t="shared" si="13"/>
        <v>0.36380226182683034</v>
      </c>
      <c r="X36" s="27">
        <f t="shared" si="13"/>
        <v>0.5069482346248135</v>
      </c>
      <c r="Y36" s="27">
        <f t="shared" si="13"/>
        <v>0.6072582750627713</v>
      </c>
      <c r="Z36" s="27">
        <f t="shared" si="13"/>
        <v>0.5453238169970915</v>
      </c>
    </row>
    <row r="37" spans="1:26" ht="16.5" thickBot="1">
      <c r="A37" s="69" t="s">
        <v>26</v>
      </c>
      <c r="B37" s="70">
        <f>(SQRT(B31^2+B32^2))-$B$3</f>
        <v>0</v>
      </c>
      <c r="C37" s="70">
        <f>(SQRT(C31^2+C32^2))-$B$3</f>
        <v>0</v>
      </c>
      <c r="D37" s="70">
        <f aca="true" t="shared" si="14" ref="D37:Z37">(SQRT(D31^2+D32^2))-$B$3</f>
        <v>0</v>
      </c>
      <c r="E37" s="70">
        <f t="shared" si="14"/>
        <v>0</v>
      </c>
      <c r="F37" s="70">
        <f t="shared" si="14"/>
        <v>0</v>
      </c>
      <c r="G37" s="70">
        <f t="shared" si="14"/>
        <v>0</v>
      </c>
      <c r="H37" s="70">
        <f t="shared" si="14"/>
        <v>0</v>
      </c>
      <c r="I37" s="70">
        <f t="shared" si="14"/>
        <v>0</v>
      </c>
      <c r="J37" s="70">
        <f t="shared" si="14"/>
        <v>0</v>
      </c>
      <c r="K37" s="70">
        <f t="shared" si="14"/>
        <v>0</v>
      </c>
      <c r="L37" s="70">
        <f t="shared" si="14"/>
        <v>0</v>
      </c>
      <c r="M37" s="70">
        <f t="shared" si="14"/>
        <v>0</v>
      </c>
      <c r="N37" s="70">
        <f t="shared" si="14"/>
        <v>0</v>
      </c>
      <c r="O37" s="70">
        <f t="shared" si="14"/>
        <v>0</v>
      </c>
      <c r="P37" s="70">
        <f t="shared" si="14"/>
        <v>0</v>
      </c>
      <c r="Q37" s="70">
        <f t="shared" si="14"/>
        <v>0</v>
      </c>
      <c r="R37" s="70">
        <f t="shared" si="14"/>
        <v>0</v>
      </c>
      <c r="S37" s="70">
        <f t="shared" si="14"/>
        <v>0</v>
      </c>
      <c r="T37" s="70">
        <f t="shared" si="14"/>
        <v>0</v>
      </c>
      <c r="U37" s="70">
        <f t="shared" si="14"/>
        <v>0</v>
      </c>
      <c r="V37" s="70">
        <f t="shared" si="14"/>
        <v>0</v>
      </c>
      <c r="W37" s="70">
        <f t="shared" si="14"/>
        <v>0</v>
      </c>
      <c r="X37" s="70">
        <f t="shared" si="14"/>
        <v>0</v>
      </c>
      <c r="Y37" s="70">
        <f t="shared" si="14"/>
        <v>0</v>
      </c>
      <c r="Z37" s="71">
        <f t="shared" si="14"/>
        <v>0</v>
      </c>
    </row>
    <row r="38" ht="16.5" thickBot="1"/>
    <row r="39" ht="16.5" thickBot="1">
      <c r="A39" s="117" t="s">
        <v>139</v>
      </c>
    </row>
    <row r="40" spans="1:26" ht="15.75">
      <c r="A40" s="123" t="s">
        <v>29</v>
      </c>
      <c r="B40" s="25">
        <f>ACOS(($B$3*COS(B22)-$B$5)/$B$4)</f>
        <v>1.817222422710759</v>
      </c>
      <c r="C40" s="25">
        <f aca="true" t="shared" si="15" ref="C40:Y40">ACOS(($B$3*COS(C22)-$B$5)/$B$4)</f>
        <v>1.8269388338120875</v>
      </c>
      <c r="D40" s="25">
        <f t="shared" si="15"/>
        <v>1.8532778564145254</v>
      </c>
      <c r="E40" s="25">
        <f t="shared" si="15"/>
        <v>1.8948121834337714</v>
      </c>
      <c r="F40" s="25">
        <f t="shared" si="15"/>
        <v>1.9493303055361728</v>
      </c>
      <c r="G40" s="25">
        <f t="shared" si="15"/>
        <v>2.0139598564852927</v>
      </c>
      <c r="H40" s="25">
        <f t="shared" si="15"/>
        <v>2.0852525859458138</v>
      </c>
      <c r="I40" s="25">
        <f t="shared" si="15"/>
        <v>2.159199566844959</v>
      </c>
      <c r="J40" s="25">
        <f t="shared" si="15"/>
        <v>2.2311850838770995</v>
      </c>
      <c r="K40" s="25">
        <f t="shared" si="15"/>
        <v>2.295954209937336</v>
      </c>
      <c r="L40" s="25">
        <f t="shared" si="15"/>
        <v>2.3477728225540173</v>
      </c>
      <c r="M40" s="25">
        <f t="shared" si="15"/>
        <v>2.3810504554100325</v>
      </c>
      <c r="N40" s="25">
        <f t="shared" si="15"/>
        <v>2.391565221100229</v>
      </c>
      <c r="O40" s="25">
        <f>ACOS(($B$3*COS(O22)-$B$5)/$B$4)</f>
        <v>2.377859259824946</v>
      </c>
      <c r="P40" s="25">
        <f t="shared" si="15"/>
        <v>2.3418204094677195</v>
      </c>
      <c r="Q40" s="25">
        <f t="shared" si="15"/>
        <v>2.287938894336848</v>
      </c>
      <c r="R40" s="25">
        <f t="shared" si="15"/>
        <v>2.221882994607208</v>
      </c>
      <c r="S40" s="25">
        <f t="shared" si="15"/>
        <v>2.149346002132738</v>
      </c>
      <c r="T40" s="25">
        <f t="shared" si="15"/>
        <v>2.0755001280821364</v>
      </c>
      <c r="U40" s="25">
        <f t="shared" si="15"/>
        <v>2.0048767147490443</v>
      </c>
      <c r="V40" s="25">
        <f t="shared" si="15"/>
        <v>1.9414082053960062</v>
      </c>
      <c r="W40" s="25">
        <f t="shared" si="15"/>
        <v>1.888468596393805</v>
      </c>
      <c r="X40" s="25">
        <f t="shared" si="15"/>
        <v>1.8488483359964532</v>
      </c>
      <c r="Y40" s="25">
        <f t="shared" si="15"/>
        <v>1.824661776487994</v>
      </c>
      <c r="Z40" s="26">
        <f>ACOS(($B$3*COS(Z22)-$B$5)/$B$4)</f>
        <v>1.817222422710759</v>
      </c>
    </row>
    <row r="41" spans="1:26" ht="15.75">
      <c r="A41" s="124" t="s">
        <v>30</v>
      </c>
      <c r="B41" s="27">
        <f>DEGREES(B40)</f>
        <v>104.11917525786492</v>
      </c>
      <c r="C41" s="27">
        <f>DEGREES(C40)</f>
        <v>104.67588460598512</v>
      </c>
      <c r="D41" s="27">
        <f aca="true" t="shared" si="16" ref="D41:Z41">DEGREES(D40)</f>
        <v>106.18499943760449</v>
      </c>
      <c r="E41" s="27">
        <f t="shared" si="16"/>
        <v>108.56474108072346</v>
      </c>
      <c r="F41" s="27">
        <f t="shared" si="16"/>
        <v>111.68839938416995</v>
      </c>
      <c r="G41" s="27">
        <f t="shared" si="16"/>
        <v>115.39139988538025</v>
      </c>
      <c r="H41" s="27">
        <f t="shared" si="16"/>
        <v>119.47617239343609</v>
      </c>
      <c r="I41" s="27">
        <f t="shared" si="16"/>
        <v>123.71302230669163</v>
      </c>
      <c r="J41" s="27">
        <f t="shared" si="16"/>
        <v>127.83748861870038</v>
      </c>
      <c r="K41" s="27">
        <f t="shared" si="16"/>
        <v>131.54848618470274</v>
      </c>
      <c r="L41" s="27">
        <f t="shared" si="16"/>
        <v>134.51747398786193</v>
      </c>
      <c r="M41" s="27">
        <f t="shared" si="16"/>
        <v>136.42414190269747</v>
      </c>
      <c r="N41" s="27">
        <f t="shared" si="16"/>
        <v>137.0265935993147</v>
      </c>
      <c r="O41" s="27">
        <f t="shared" si="16"/>
        <v>136.24129986407124</v>
      </c>
      <c r="P41" s="27">
        <f t="shared" si="16"/>
        <v>134.17642584009863</v>
      </c>
      <c r="Q41" s="27">
        <f t="shared" si="16"/>
        <v>131.0892424293294</v>
      </c>
      <c r="R41" s="27">
        <f t="shared" si="16"/>
        <v>127.30451816288168</v>
      </c>
      <c r="S41" s="27">
        <f t="shared" si="16"/>
        <v>123.14845463552233</v>
      </c>
      <c r="T41" s="27">
        <f t="shared" si="16"/>
        <v>118.9173977179682</v>
      </c>
      <c r="U41" s="27">
        <f t="shared" si="16"/>
        <v>114.87097419917409</v>
      </c>
      <c r="V41" s="27">
        <f t="shared" si="16"/>
        <v>111.23449648125842</v>
      </c>
      <c r="W41" s="27">
        <f t="shared" si="16"/>
        <v>108.2012803163595</v>
      </c>
      <c r="X41" s="27">
        <f t="shared" si="16"/>
        <v>105.93120661238193</v>
      </c>
      <c r="Y41" s="27">
        <f t="shared" si="16"/>
        <v>104.5454188316052</v>
      </c>
      <c r="Z41" s="28">
        <f t="shared" si="16"/>
        <v>104.11917525786492</v>
      </c>
    </row>
    <row r="42" spans="1:26" ht="15.75">
      <c r="A42" s="124" t="s">
        <v>31</v>
      </c>
      <c r="B42" s="27">
        <f>SIN(B22)*B24*$B$3/($B$4*SIN(B40))</f>
        <v>0.004389282844241315</v>
      </c>
      <c r="C42" s="27">
        <f aca="true" t="shared" si="17" ref="C42:Z42">SIN(C22)*C24*$B$3/($B$4*SIN(C40))</f>
        <v>0.06949596594980696</v>
      </c>
      <c r="D42" s="27">
        <f t="shared" si="17"/>
        <v>0.1502302181092079</v>
      </c>
      <c r="E42" s="27">
        <f t="shared" si="17"/>
        <v>0.23798182424813505</v>
      </c>
      <c r="F42" s="27">
        <f t="shared" si="17"/>
        <v>0.32149883924967315</v>
      </c>
      <c r="G42" s="27">
        <f t="shared" si="17"/>
        <v>0.39081607086024817</v>
      </c>
      <c r="H42" s="27">
        <f t="shared" si="17"/>
        <v>0.43730959152164134</v>
      </c>
      <c r="I42" s="27">
        <f t="shared" si="17"/>
        <v>0.4535735058157374</v>
      </c>
      <c r="J42" s="27">
        <f t="shared" si="17"/>
        <v>0.4334020789977244</v>
      </c>
      <c r="K42" s="27">
        <f t="shared" si="17"/>
        <v>0.37259214054835604</v>
      </c>
      <c r="L42" s="27">
        <f t="shared" si="17"/>
        <v>0.2712815670594298</v>
      </c>
      <c r="M42" s="27">
        <f>SIN(M22)*M24*$B$3/($B$4*SIN(M40))</f>
        <v>0.13765149608829136</v>
      </c>
      <c r="N42" s="27">
        <f>SIN(N22)*N24*$B$3/($B$4*SIN(N40))</f>
        <v>-0.009758029137175335</v>
      </c>
      <c r="O42" s="27">
        <f t="shared" si="17"/>
        <v>-0.1456179975855715</v>
      </c>
      <c r="P42" s="27">
        <f t="shared" si="17"/>
        <v>-0.24702766027586803</v>
      </c>
      <c r="Q42" s="27">
        <f t="shared" si="17"/>
        <v>-0.3013871864337612</v>
      </c>
      <c r="R42" s="27">
        <f t="shared" si="17"/>
        <v>-0.30858072106046186</v>
      </c>
      <c r="S42" s="27">
        <f t="shared" si="17"/>
        <v>-0.2790034917279332</v>
      </c>
      <c r="T42" s="27">
        <f t="shared" si="17"/>
        <v>-0.22923862357969546</v>
      </c>
      <c r="U42" s="27">
        <f t="shared" si="17"/>
        <v>-0.17654578218321745</v>
      </c>
      <c r="V42" s="27">
        <f t="shared" si="17"/>
        <v>-0.13379462505524925</v>
      </c>
      <c r="W42" s="27">
        <f t="shared" si="17"/>
        <v>-0.10500685700191235</v>
      </c>
      <c r="X42" s="27">
        <f t="shared" si="17"/>
        <v>-0.08174959492708685</v>
      </c>
      <c r="Y42" s="27">
        <f t="shared" si="17"/>
        <v>-0.04855884372775736</v>
      </c>
      <c r="Z42" s="28">
        <f t="shared" si="17"/>
        <v>0.004171012360288236</v>
      </c>
    </row>
    <row r="43" spans="1:26" ht="15.75">
      <c r="A43" s="124" t="s">
        <v>32</v>
      </c>
      <c r="B43" s="27">
        <f>(B25*($B$3*SIN(B22))/($B$4*SIN(B40)))+(B24*$B$3/$B$4)*((B24*COS(B22)*SIN(B40)-B42*SIN(B22)*COS(B40))/(SIN(B40)*SIN(B40)))</f>
        <v>0.25146669182368175</v>
      </c>
      <c r="C43" s="27">
        <f>(C25*($B$3*SIN(C22))/($B$4*SIN(C40)))+(C24*$B$3/$B$4)*((C24*COS(C22)*SIN(C40)-C42*SIN(C22)*COS(C40))/(SIN(C40)*SIN(C40)))</f>
        <v>0.2830517336804434</v>
      </c>
      <c r="D43" s="27">
        <f>(D25*($B$3*SIN(D22))/($B$4*SIN(D40)))+(D24*$B$3/$B$4)*((D24*COS(D22)*SIN(D40)-D42*SIN(D22)*COS(D40))/(SIN(D40)*SIN(D40)))</f>
        <v>0.37250614163872897</v>
      </c>
      <c r="E43" s="27">
        <f>(E25*($B$3*SIN(E22))/($B$4*SIN(E40)))+(E24*$B$3/$B$4)*((E24*COS(E22)*SIN(E40)-E42*SIN(E22)*COS(E40))/(SIN(E40)*SIN(E40)))</f>
        <v>0.4186819494917373</v>
      </c>
      <c r="F43" s="27">
        <f aca="true" t="shared" si="18" ref="F43:Z43">(F25*($B$3*SIN(F22))/($B$4*SIN(F40)))+(F24*$B$3/$B$4)*((F24*COS(F22)*SIN(F40)-F42*SIN(F22)*COS(F40))/(SIN(F40)*SIN(F40)))</f>
        <v>0.40299070875078374</v>
      </c>
      <c r="G43" s="27">
        <f t="shared" si="18"/>
        <v>0.3212471657810606</v>
      </c>
      <c r="H43" s="27">
        <f t="shared" si="18"/>
        <v>0.17656273716701898</v>
      </c>
      <c r="I43" s="27">
        <f t="shared" si="18"/>
        <v>-0.02360779969321187</v>
      </c>
      <c r="J43" s="27">
        <f t="shared" si="18"/>
        <v>-0.26620961951340005</v>
      </c>
      <c r="K43" s="27">
        <f t="shared" si="18"/>
        <v>-0.5261216680167065</v>
      </c>
      <c r="L43" s="27">
        <f t="shared" si="18"/>
        <v>-0.757014529724626</v>
      </c>
      <c r="M43" s="27">
        <f t="shared" si="18"/>
        <v>-0.8917821462166966</v>
      </c>
      <c r="N43" s="27">
        <f t="shared" si="18"/>
        <v>-0.8710622863661583</v>
      </c>
      <c r="O43" s="27">
        <f t="shared" si="18"/>
        <v>-0.6898336441315589</v>
      </c>
      <c r="P43" s="27">
        <f t="shared" si="18"/>
        <v>-0.41139605640341664</v>
      </c>
      <c r="Q43" s="27">
        <f t="shared" si="18"/>
        <v>-0.13175362340999625</v>
      </c>
      <c r="R43" s="27">
        <f t="shared" si="18"/>
        <v>0.06851704467813984</v>
      </c>
      <c r="S43" s="27">
        <f t="shared" si="18"/>
        <v>0.15722140547167027</v>
      </c>
      <c r="T43" s="27">
        <f t="shared" si="18"/>
        <v>0.15460006502268475</v>
      </c>
      <c r="U43" s="27">
        <f t="shared" si="18"/>
        <v>0.10747015319031009</v>
      </c>
      <c r="V43" s="27">
        <f t="shared" si="18"/>
        <v>0.05887493721076859</v>
      </c>
      <c r="W43" s="27">
        <f t="shared" si="18"/>
        <v>0.037147562333274056</v>
      </c>
      <c r="X43" s="27">
        <f t="shared" si="18"/>
        <v>0.05880138222562561</v>
      </c>
      <c r="Y43" s="27">
        <f t="shared" si="18"/>
        <v>0.12724590352587897</v>
      </c>
      <c r="Z43" s="28">
        <f t="shared" si="18"/>
        <v>0.229541771190645</v>
      </c>
    </row>
    <row r="44" spans="1:26" ht="16.5" thickBot="1">
      <c r="A44" s="128" t="s">
        <v>33</v>
      </c>
      <c r="B44" s="29">
        <f>B40-$B$40</f>
        <v>0</v>
      </c>
      <c r="C44" s="29">
        <f>C40-$B$40</f>
        <v>0.009716411101328593</v>
      </c>
      <c r="D44" s="29">
        <f>D40-$B$40</f>
        <v>0.036055433703766404</v>
      </c>
      <c r="E44" s="29">
        <f aca="true" t="shared" si="19" ref="E44:Z44">E40-$B$40</f>
        <v>0.07758976072301249</v>
      </c>
      <c r="F44" s="29">
        <f t="shared" si="19"/>
        <v>0.13210788282541386</v>
      </c>
      <c r="G44" s="29">
        <f t="shared" si="19"/>
        <v>0.1967374337745338</v>
      </c>
      <c r="H44" s="29">
        <f t="shared" si="19"/>
        <v>0.2680301632350548</v>
      </c>
      <c r="I44" s="29">
        <f t="shared" si="19"/>
        <v>0.3419771441342001</v>
      </c>
      <c r="J44" s="29">
        <f t="shared" si="19"/>
        <v>0.4139626611663405</v>
      </c>
      <c r="K44" s="29">
        <f t="shared" si="19"/>
        <v>0.47873178722657705</v>
      </c>
      <c r="L44" s="29">
        <f t="shared" si="19"/>
        <v>0.5305503998432584</v>
      </c>
      <c r="M44" s="29">
        <f t="shared" si="19"/>
        <v>0.5638280326992735</v>
      </c>
      <c r="N44" s="29">
        <f t="shared" si="19"/>
        <v>0.5743427983894702</v>
      </c>
      <c r="O44" s="29">
        <f t="shared" si="19"/>
        <v>0.560636837114187</v>
      </c>
      <c r="P44" s="29">
        <f t="shared" si="19"/>
        <v>0.5245979867569606</v>
      </c>
      <c r="Q44" s="29">
        <f t="shared" si="19"/>
        <v>0.4707164716260892</v>
      </c>
      <c r="R44" s="29">
        <f t="shared" si="19"/>
        <v>0.4046605718964491</v>
      </c>
      <c r="S44" s="29">
        <f t="shared" si="19"/>
        <v>0.332123579421979</v>
      </c>
      <c r="T44" s="29">
        <f t="shared" si="19"/>
        <v>0.2582777053713774</v>
      </c>
      <c r="U44" s="29">
        <f t="shared" si="19"/>
        <v>0.18765429203828532</v>
      </c>
      <c r="V44" s="29">
        <f t="shared" si="19"/>
        <v>0.12418578268524727</v>
      </c>
      <c r="W44" s="29">
        <f t="shared" si="19"/>
        <v>0.07124617368304609</v>
      </c>
      <c r="X44" s="29">
        <f t="shared" si="19"/>
        <v>0.031625913285694196</v>
      </c>
      <c r="Y44" s="29">
        <f t="shared" si="19"/>
        <v>0.007439353777235036</v>
      </c>
      <c r="Z44" s="30">
        <f t="shared" si="19"/>
        <v>0</v>
      </c>
    </row>
    <row r="45" spans="1:16" ht="16.5" thickBot="1">
      <c r="A45" s="1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2" ht="16.5" thickBot="1">
      <c r="A46" s="179" t="s">
        <v>48</v>
      </c>
      <c r="B46" s="180"/>
    </row>
    <row r="47" spans="1:26" ht="15.75">
      <c r="A47" s="123" t="s">
        <v>20</v>
      </c>
      <c r="B47" s="25">
        <f aca="true" t="shared" si="20" ref="B47:Z47">B31+($E$4-$E$3)*COS(B44)-($F$4-$F$3)*SIN(B44)</f>
        <v>2</v>
      </c>
      <c r="C47" s="25">
        <f t="shared" si="20"/>
        <v>1.9999999999999998</v>
      </c>
      <c r="D47" s="25">
        <f t="shared" si="20"/>
        <v>2</v>
      </c>
      <c r="E47" s="25">
        <f t="shared" si="20"/>
        <v>2</v>
      </c>
      <c r="F47" s="25">
        <f t="shared" si="20"/>
        <v>1.9999999999999998</v>
      </c>
      <c r="G47" s="25">
        <f t="shared" si="20"/>
        <v>2.0000000000000004</v>
      </c>
      <c r="H47" s="25">
        <f t="shared" si="20"/>
        <v>2</v>
      </c>
      <c r="I47" s="25">
        <f t="shared" si="20"/>
        <v>1.9999999999999993</v>
      </c>
      <c r="J47" s="25">
        <f t="shared" si="20"/>
        <v>1.999999999999999</v>
      </c>
      <c r="K47" s="25">
        <f t="shared" si="20"/>
        <v>1.9999999999999996</v>
      </c>
      <c r="L47" s="25">
        <f t="shared" si="20"/>
        <v>1.9999999999999993</v>
      </c>
      <c r="M47" s="25">
        <f t="shared" si="20"/>
        <v>1.9999999999999996</v>
      </c>
      <c r="N47" s="25">
        <f t="shared" si="20"/>
        <v>1.9999999999999996</v>
      </c>
      <c r="O47" s="25">
        <f t="shared" si="20"/>
        <v>2</v>
      </c>
      <c r="P47" s="25">
        <f t="shared" si="20"/>
        <v>1.9999999999999991</v>
      </c>
      <c r="Q47" s="25">
        <f t="shared" si="20"/>
        <v>2.0000000000000004</v>
      </c>
      <c r="R47" s="25">
        <f t="shared" si="20"/>
        <v>1.9999999999999998</v>
      </c>
      <c r="S47" s="25">
        <f t="shared" si="20"/>
        <v>2</v>
      </c>
      <c r="T47" s="25">
        <f t="shared" si="20"/>
        <v>2</v>
      </c>
      <c r="U47" s="25">
        <f t="shared" si="20"/>
        <v>2.0000000000000004</v>
      </c>
      <c r="V47" s="25">
        <f t="shared" si="20"/>
        <v>1.9999999999999996</v>
      </c>
      <c r="W47" s="25">
        <f t="shared" si="20"/>
        <v>1.9999999999999996</v>
      </c>
      <c r="X47" s="25">
        <f t="shared" si="20"/>
        <v>1.9999999999999993</v>
      </c>
      <c r="Y47" s="25">
        <f t="shared" si="20"/>
        <v>1.9999999999999996</v>
      </c>
      <c r="Z47" s="26">
        <f t="shared" si="20"/>
        <v>2</v>
      </c>
    </row>
    <row r="48" spans="1:26" ht="15.75">
      <c r="A48" s="124" t="s">
        <v>21</v>
      </c>
      <c r="B48" s="27">
        <f aca="true" t="shared" si="21" ref="B48:Z48">B32+($E$4-$E$3)*SIN(B44)+($F$4-$F$3)*COS(B44)</f>
        <v>-3.9586883565533846</v>
      </c>
      <c r="C48" s="27">
        <f t="shared" si="21"/>
        <v>-3.6905979795703323</v>
      </c>
      <c r="D48" s="27">
        <f t="shared" si="21"/>
        <v>-3.42246537542691</v>
      </c>
      <c r="E48" s="27">
        <f t="shared" si="21"/>
        <v>-3.1673147032398745</v>
      </c>
      <c r="F48" s="27">
        <f t="shared" si="21"/>
        <v>-2.935130693228317</v>
      </c>
      <c r="G48" s="27">
        <f t="shared" si="21"/>
        <v>-2.733642904266919</v>
      </c>
      <c r="H48" s="27">
        <f t="shared" si="21"/>
        <v>-2.569449965134833</v>
      </c>
      <c r="I48" s="27">
        <f t="shared" si="21"/>
        <v>-2.4492330811886323</v>
      </c>
      <c r="J48" s="27">
        <f t="shared" si="21"/>
        <v>-2.3808233542801918</v>
      </c>
      <c r="K48" s="27">
        <f t="shared" si="21"/>
        <v>-2.3737599599343904</v>
      </c>
      <c r="L48" s="27">
        <f t="shared" si="21"/>
        <v>-2.4386406597012824</v>
      </c>
      <c r="M48" s="27">
        <f t="shared" si="21"/>
        <v>-2.5842669336307056</v>
      </c>
      <c r="N48" s="27">
        <f t="shared" si="21"/>
        <v>-2.812253616875136</v>
      </c>
      <c r="O48" s="27">
        <f t="shared" si="21"/>
        <v>-3.1112905730084996</v>
      </c>
      <c r="P48" s="27">
        <f t="shared" si="21"/>
        <v>-3.4555473872229063</v>
      </c>
      <c r="Q48" s="27">
        <f t="shared" si="21"/>
        <v>-3.8094556988957358</v>
      </c>
      <c r="R48" s="27">
        <f t="shared" si="21"/>
        <v>-4.1358650446034835</v>
      </c>
      <c r="S48" s="27">
        <f t="shared" si="21"/>
        <v>-4.403047714700268</v>
      </c>
      <c r="T48" s="27">
        <f t="shared" si="21"/>
        <v>-4.588650425769858</v>
      </c>
      <c r="U48" s="27">
        <f t="shared" si="21"/>
        <v>-4.681016186673723</v>
      </c>
      <c r="V48" s="27">
        <f t="shared" si="21"/>
        <v>-4.678801516719281</v>
      </c>
      <c r="W48" s="27">
        <f t="shared" si="21"/>
        <v>-4.589515165387837</v>
      </c>
      <c r="X48" s="27">
        <f t="shared" si="21"/>
        <v>-4.427336626677742</v>
      </c>
      <c r="Y48" s="27">
        <f t="shared" si="21"/>
        <v>-4.210512213165153</v>
      </c>
      <c r="Z48" s="28">
        <f t="shared" si="21"/>
        <v>-3.9586883565533846</v>
      </c>
    </row>
    <row r="49" spans="1:26" ht="15.75">
      <c r="A49" s="124" t="s">
        <v>22</v>
      </c>
      <c r="B49" s="27">
        <f>B33-B42*(B48-B32)</f>
        <v>0</v>
      </c>
      <c r="C49" s="27">
        <f aca="true" t="shared" si="22" ref="C49:X49">C33-C42*(C48-C32)</f>
        <v>0</v>
      </c>
      <c r="D49" s="27">
        <f t="shared" si="22"/>
        <v>0</v>
      </c>
      <c r="E49" s="27">
        <f t="shared" si="22"/>
        <v>0</v>
      </c>
      <c r="F49" s="27">
        <f t="shared" si="22"/>
        <v>0</v>
      </c>
      <c r="G49" s="27">
        <f t="shared" si="22"/>
        <v>0</v>
      </c>
      <c r="H49" s="27">
        <f t="shared" si="22"/>
        <v>0</v>
      </c>
      <c r="I49" s="27">
        <f t="shared" si="22"/>
        <v>0</v>
      </c>
      <c r="J49" s="27">
        <f t="shared" si="22"/>
        <v>0</v>
      </c>
      <c r="K49" s="27">
        <f t="shared" si="22"/>
        <v>0</v>
      </c>
      <c r="L49" s="27">
        <f t="shared" si="22"/>
        <v>0</v>
      </c>
      <c r="M49" s="27">
        <f t="shared" si="22"/>
        <v>0</v>
      </c>
      <c r="N49" s="27">
        <f t="shared" si="22"/>
        <v>3.122502256758253E-16</v>
      </c>
      <c r="O49" s="27">
        <f t="shared" si="22"/>
        <v>0</v>
      </c>
      <c r="P49" s="27">
        <f t="shared" si="22"/>
        <v>0</v>
      </c>
      <c r="Q49" s="27">
        <f t="shared" si="22"/>
        <v>0</v>
      </c>
      <c r="R49" s="27">
        <f t="shared" si="22"/>
        <v>0</v>
      </c>
      <c r="S49" s="27">
        <f t="shared" si="22"/>
        <v>0</v>
      </c>
      <c r="T49" s="27">
        <f t="shared" si="22"/>
        <v>0</v>
      </c>
      <c r="U49" s="27">
        <f t="shared" si="22"/>
        <v>0</v>
      </c>
      <c r="V49" s="27">
        <f t="shared" si="22"/>
        <v>0</v>
      </c>
      <c r="W49" s="27">
        <f t="shared" si="22"/>
        <v>0</v>
      </c>
      <c r="X49" s="27">
        <f t="shared" si="22"/>
        <v>0</v>
      </c>
      <c r="Y49" s="27">
        <f>Y33-Y42*(Y48-Y32)</f>
        <v>0</v>
      </c>
      <c r="Z49" s="28">
        <f>Z33-Z42*(Z48-Z32)</f>
        <v>-1.8388068845354155E-16</v>
      </c>
    </row>
    <row r="50" spans="1:26" ht="15.75">
      <c r="A50" s="124" t="s">
        <v>23</v>
      </c>
      <c r="B50" s="27">
        <f>B34+B42*(B47-B31)</f>
        <v>1.0042376465096696</v>
      </c>
      <c r="C50" s="27">
        <f>C34+C42*(C47-C31)</f>
        <v>1.0334498177481497</v>
      </c>
      <c r="D50" s="27">
        <f aca="true" t="shared" si="23" ref="D50:Z50">D34+D42*(D47-D31)</f>
        <v>1.1561625800096258</v>
      </c>
      <c r="E50" s="27">
        <f t="shared" si="23"/>
        <v>1.2038644361475823</v>
      </c>
      <c r="F50" s="27">
        <f t="shared" si="23"/>
        <v>1.1660664876046902</v>
      </c>
      <c r="G50" s="27">
        <f t="shared" si="23"/>
        <v>1.0480021072420869</v>
      </c>
      <c r="H50" s="27">
        <f t="shared" si="23"/>
        <v>0.8550058846101221</v>
      </c>
      <c r="I50" s="27">
        <f t="shared" si="23"/>
        <v>0.5885994879333459</v>
      </c>
      <c r="J50" s="27">
        <f t="shared" si="23"/>
        <v>0.246803850106025</v>
      </c>
      <c r="K50" s="27">
        <f t="shared" si="23"/>
        <v>-0.17068460719665124</v>
      </c>
      <c r="L50" s="27">
        <f t="shared" si="23"/>
        <v>-0.6509195591995174</v>
      </c>
      <c r="M50" s="27">
        <f t="shared" si="23"/>
        <v>-1.1514449288321518</v>
      </c>
      <c r="N50" s="27">
        <f t="shared" si="23"/>
        <v>-1.5916702065085238</v>
      </c>
      <c r="O50" s="27">
        <f t="shared" si="23"/>
        <v>-1.8712436453359087</v>
      </c>
      <c r="P50" s="27">
        <f t="shared" si="23"/>
        <v>-1.9147105590653948</v>
      </c>
      <c r="Q50" s="27">
        <f t="shared" si="23"/>
        <v>-1.711502064992279</v>
      </c>
      <c r="R50" s="27">
        <f t="shared" si="23"/>
        <v>-1.3245973810772549</v>
      </c>
      <c r="S50" s="27">
        <f t="shared" si="23"/>
        <v>-0.864297879668708</v>
      </c>
      <c r="T50" s="27">
        <f t="shared" si="23"/>
        <v>-0.4401163357929032</v>
      </c>
      <c r="U50" s="27">
        <f t="shared" si="23"/>
        <v>-0.11612125946099502</v>
      </c>
      <c r="V50" s="27">
        <f t="shared" si="23"/>
        <v>0.1085485928876434</v>
      </c>
      <c r="W50" s="27">
        <f t="shared" si="23"/>
        <v>0.2890399927934495</v>
      </c>
      <c r="X50" s="27">
        <f t="shared" si="23"/>
        <v>0.4894451827628412</v>
      </c>
      <c r="Y50" s="27">
        <f t="shared" si="23"/>
        <v>0.7229169746818852</v>
      </c>
      <c r="Z50" s="28">
        <f t="shared" si="23"/>
        <v>0.9542988649624647</v>
      </c>
    </row>
    <row r="51" spans="1:26" ht="15.75">
      <c r="A51" s="124" t="s">
        <v>24</v>
      </c>
      <c r="B51" s="27">
        <f>B35-B43*(B48-B32)-B42^2*(B47-B31)</f>
        <v>-1.7292685837964894E-16</v>
      </c>
      <c r="C51" s="27">
        <f>C35-C43*(C48-C32)-C42^2*(C47-C31)</f>
        <v>2.7755575615628914E-17</v>
      </c>
      <c r="D51" s="27">
        <f aca="true" t="shared" si="24" ref="D51:Z51">D35-D43*(D48-D32)-D42^2*(D47-D31)</f>
        <v>-0.1679310624644554</v>
      </c>
      <c r="E51" s="27">
        <f t="shared" si="24"/>
        <v>-0.3282915608260126</v>
      </c>
      <c r="F51" s="27">
        <f t="shared" si="24"/>
        <v>-0.3807103076182945</v>
      </c>
      <c r="G51" s="27">
        <f t="shared" si="24"/>
        <v>-0.2648457424127854</v>
      </c>
      <c r="H51" s="27">
        <f t="shared" si="24"/>
        <v>0.023866649212059388</v>
      </c>
      <c r="I51" s="27">
        <f t="shared" si="24"/>
        <v>0.4348908222141696</v>
      </c>
      <c r="J51" s="27">
        <f t="shared" si="24"/>
        <v>0.8796606169531923</v>
      </c>
      <c r="K51" s="27">
        <f t="shared" si="24"/>
        <v>1.258304977238221</v>
      </c>
      <c r="L51" s="27">
        <f t="shared" si="24"/>
        <v>1.4882188129446938</v>
      </c>
      <c r="M51" s="27">
        <f t="shared" si="24"/>
        <v>1.5257269376843552</v>
      </c>
      <c r="N51" s="27">
        <f t="shared" si="24"/>
        <v>1.3736512613893224</v>
      </c>
      <c r="O51" s="27">
        <f t="shared" si="24"/>
        <v>1.0744499092446975</v>
      </c>
      <c r="P51" s="27">
        <f t="shared" si="24"/>
        <v>0.6996554103971908</v>
      </c>
      <c r="Q51" s="27">
        <f t="shared" si="24"/>
        <v>0.3431358886185094</v>
      </c>
      <c r="R51" s="27">
        <f t="shared" si="24"/>
        <v>0.0966781101332719</v>
      </c>
      <c r="S51" s="27">
        <f t="shared" si="24"/>
        <v>-0.0030476844242459666</v>
      </c>
      <c r="T51" s="27">
        <f t="shared" si="24"/>
        <v>0.002093549139767628</v>
      </c>
      <c r="U51" s="27">
        <f t="shared" si="24"/>
        <v>0.040758834695719184</v>
      </c>
      <c r="V51" s="27">
        <f t="shared" si="24"/>
        <v>0.07394518422593875</v>
      </c>
      <c r="W51" s="27">
        <f t="shared" si="24"/>
        <v>0.1025429476695589</v>
      </c>
      <c r="X51" s="27">
        <f t="shared" si="24"/>
        <v>0.12957023832675027</v>
      </c>
      <c r="Y51" s="27">
        <f t="shared" si="24"/>
        <v>0.12524387811400772</v>
      </c>
      <c r="Z51" s="28">
        <f t="shared" si="24"/>
        <v>0.044898425573616785</v>
      </c>
    </row>
    <row r="52" spans="1:26" ht="15.75">
      <c r="A52" s="124" t="s">
        <v>25</v>
      </c>
      <c r="B52" s="27">
        <f>B36+B43*(B47-B31)-(B42^2)*(B48-B32)</f>
        <v>0.2341291885297351</v>
      </c>
      <c r="C52" s="27">
        <f>C36+C43*(C47-C31)-(C42^2)*(C48-C32)</f>
        <v>0.5828665667488113</v>
      </c>
      <c r="D52" s="27">
        <f aca="true" t="shared" si="25" ref="D52:Z52">D36+D43*(D47-D31)-(D42^2)*(D48-D32)</f>
        <v>0.35155373527602196</v>
      </c>
      <c r="E52" s="27">
        <f t="shared" si="25"/>
        <v>-0.031769730130094764</v>
      </c>
      <c r="F52" s="27">
        <f t="shared" si="25"/>
        <v>-0.47369702423634713</v>
      </c>
      <c r="G52" s="27">
        <f t="shared" si="25"/>
        <v>-0.9335970660177031</v>
      </c>
      <c r="H52" s="27">
        <f t="shared" si="25"/>
        <v>-1.4029527707147422</v>
      </c>
      <c r="I52" s="27">
        <f t="shared" si="25"/>
        <v>-1.8888016236832037</v>
      </c>
      <c r="J52" s="27">
        <f t="shared" si="25"/>
        <v>-2.386583039065375</v>
      </c>
      <c r="K52" s="27">
        <f t="shared" si="25"/>
        <v>-2.8413498780491424</v>
      </c>
      <c r="L52" s="27">
        <f t="shared" si="25"/>
        <v>-3.106536256325787</v>
      </c>
      <c r="M52" s="27">
        <f t="shared" si="25"/>
        <v>-2.9500647532979403</v>
      </c>
      <c r="N52" s="27">
        <f t="shared" si="25"/>
        <v>-2.1848086026140323</v>
      </c>
      <c r="O52" s="27">
        <f t="shared" si="25"/>
        <v>-0.8816328864839891</v>
      </c>
      <c r="P52" s="27">
        <f t="shared" si="25"/>
        <v>0.5625913283452499</v>
      </c>
      <c r="Q52" s="27">
        <f t="shared" si="25"/>
        <v>1.6263431570076123</v>
      </c>
      <c r="R52" s="27">
        <f t="shared" si="25"/>
        <v>1.9872249960891077</v>
      </c>
      <c r="S52" s="27">
        <f t="shared" si="25"/>
        <v>1.7148785546912588</v>
      </c>
      <c r="T52" s="27">
        <f t="shared" si="25"/>
        <v>1.1643605636329366</v>
      </c>
      <c r="U52" s="27">
        <f t="shared" si="25"/>
        <v>0.6875701354986087</v>
      </c>
      <c r="V52" s="27">
        <f t="shared" si="25"/>
        <v>0.45174255631314064</v>
      </c>
      <c r="W52" s="27">
        <f t="shared" si="25"/>
        <v>0.4543220712472173</v>
      </c>
      <c r="X52" s="27">
        <f t="shared" si="25"/>
        <v>0.5994700446557802</v>
      </c>
      <c r="Y52" s="27">
        <f t="shared" si="25"/>
        <v>0.7476417081381911</v>
      </c>
      <c r="Z52" s="28">
        <f t="shared" si="25"/>
        <v>0.7749697228003817</v>
      </c>
    </row>
    <row r="53" spans="1:26" ht="16.5" thickBot="1">
      <c r="A53" s="128" t="s">
        <v>42</v>
      </c>
      <c r="B53" s="29">
        <f>ABS(B48)</f>
        <v>3.9586883565533846</v>
      </c>
      <c r="C53" s="29">
        <f aca="true" t="shared" si="26" ref="C53:Z53">ABS(C48)</f>
        <v>3.6905979795703323</v>
      </c>
      <c r="D53" s="29">
        <f t="shared" si="26"/>
        <v>3.42246537542691</v>
      </c>
      <c r="E53" s="29">
        <f t="shared" si="26"/>
        <v>3.1673147032398745</v>
      </c>
      <c r="F53" s="29">
        <f t="shared" si="26"/>
        <v>2.935130693228317</v>
      </c>
      <c r="G53" s="29">
        <f t="shared" si="26"/>
        <v>2.733642904266919</v>
      </c>
      <c r="H53" s="29">
        <f t="shared" si="26"/>
        <v>2.569449965134833</v>
      </c>
      <c r="I53" s="29">
        <f t="shared" si="26"/>
        <v>2.4492330811886323</v>
      </c>
      <c r="J53" s="29">
        <f t="shared" si="26"/>
        <v>2.3808233542801918</v>
      </c>
      <c r="K53" s="29">
        <f t="shared" si="26"/>
        <v>2.3737599599343904</v>
      </c>
      <c r="L53" s="29">
        <f t="shared" si="26"/>
        <v>2.4386406597012824</v>
      </c>
      <c r="M53" s="29">
        <f t="shared" si="26"/>
        <v>2.5842669336307056</v>
      </c>
      <c r="N53" s="29">
        <f t="shared" si="26"/>
        <v>2.812253616875136</v>
      </c>
      <c r="O53" s="29">
        <f t="shared" si="26"/>
        <v>3.1112905730084996</v>
      </c>
      <c r="P53" s="29">
        <f t="shared" si="26"/>
        <v>3.4555473872229063</v>
      </c>
      <c r="Q53" s="29">
        <f t="shared" si="26"/>
        <v>3.8094556988957358</v>
      </c>
      <c r="R53" s="29">
        <f t="shared" si="26"/>
        <v>4.1358650446034835</v>
      </c>
      <c r="S53" s="29">
        <f t="shared" si="26"/>
        <v>4.403047714700268</v>
      </c>
      <c r="T53" s="29">
        <f t="shared" si="26"/>
        <v>4.588650425769858</v>
      </c>
      <c r="U53" s="29">
        <f t="shared" si="26"/>
        <v>4.681016186673723</v>
      </c>
      <c r="V53" s="29">
        <f t="shared" si="26"/>
        <v>4.678801516719281</v>
      </c>
      <c r="W53" s="29">
        <f t="shared" si="26"/>
        <v>4.589515165387837</v>
      </c>
      <c r="X53" s="29">
        <f t="shared" si="26"/>
        <v>4.427336626677742</v>
      </c>
      <c r="Y53" s="29">
        <f t="shared" si="26"/>
        <v>4.210512213165153</v>
      </c>
      <c r="Z53" s="30">
        <f t="shared" si="26"/>
        <v>3.9586883565533846</v>
      </c>
    </row>
    <row r="54" spans="1:26" ht="16.5" thickBot="1">
      <c r="A54" s="1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6.5" thickBot="1">
      <c r="A55" s="118" t="s">
        <v>49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>
      <c r="A56" s="125" t="s">
        <v>37</v>
      </c>
      <c r="B56" s="32">
        <f>ATAN(($F$5-B48)/($E$5-B47))</f>
        <v>1.371799134697952</v>
      </c>
      <c r="C56" s="25">
        <f aca="true" t="shared" si="27" ref="C56:Z56">ATAN(($F$5-C48)/($E$5-C47))</f>
        <v>1.360748510026954</v>
      </c>
      <c r="D56" s="25">
        <f t="shared" si="27"/>
        <v>1.3484178014980164</v>
      </c>
      <c r="E56" s="25">
        <f t="shared" si="27"/>
        <v>1.3352866348582426</v>
      </c>
      <c r="F56" s="25">
        <f t="shared" si="27"/>
        <v>1.3219426961432807</v>
      </c>
      <c r="G56" s="25">
        <f t="shared" si="27"/>
        <v>1.3091035468189804</v>
      </c>
      <c r="H56" s="25">
        <f t="shared" si="27"/>
        <v>1.297643704508446</v>
      </c>
      <c r="I56" s="25">
        <f t="shared" si="27"/>
        <v>1.2886131429093373</v>
      </c>
      <c r="J56" s="25">
        <f t="shared" si="27"/>
        <v>1.283210116087541</v>
      </c>
      <c r="K56" s="25">
        <f t="shared" si="27"/>
        <v>1.282640767034323</v>
      </c>
      <c r="L56" s="25">
        <f t="shared" si="27"/>
        <v>1.2877895142395792</v>
      </c>
      <c r="M56" s="25">
        <f t="shared" si="27"/>
        <v>1.2987178752776072</v>
      </c>
      <c r="N56" s="25">
        <f t="shared" si="27"/>
        <v>1.3142638534782132</v>
      </c>
      <c r="O56" s="25">
        <f t="shared" si="27"/>
        <v>1.3321970289864224</v>
      </c>
      <c r="P56" s="25">
        <f t="shared" si="27"/>
        <v>1.3500156172952664</v>
      </c>
      <c r="Q56" s="25">
        <f t="shared" si="27"/>
        <v>1.365793528277253</v>
      </c>
      <c r="R56" s="25">
        <f t="shared" si="27"/>
        <v>1.3784932446965361</v>
      </c>
      <c r="S56" s="25">
        <f t="shared" si="27"/>
        <v>1.3877865059689163</v>
      </c>
      <c r="T56" s="25">
        <f t="shared" si="27"/>
        <v>1.3937360520259245</v>
      </c>
      <c r="U56" s="25">
        <f t="shared" si="27"/>
        <v>1.3965564408547173</v>
      </c>
      <c r="V56" s="25">
        <f t="shared" si="27"/>
        <v>1.3964898569949786</v>
      </c>
      <c r="W56" s="25">
        <f t="shared" si="27"/>
        <v>1.3937628757662417</v>
      </c>
      <c r="X56" s="25">
        <f t="shared" si="27"/>
        <v>1.3885874814214354</v>
      </c>
      <c r="Y56" s="25">
        <f t="shared" si="27"/>
        <v>1.3811822100304787</v>
      </c>
      <c r="Z56" s="26">
        <f t="shared" si="27"/>
        <v>1.371799134697952</v>
      </c>
    </row>
    <row r="57" spans="1:26" ht="15.75">
      <c r="A57" s="126" t="s">
        <v>38</v>
      </c>
      <c r="B57" s="33">
        <f aca="true" t="shared" si="28" ref="B57:X57">DEGREES(B56)</f>
        <v>78.59830075789097</v>
      </c>
      <c r="C57" s="27">
        <f t="shared" si="28"/>
        <v>77.96514660325965</v>
      </c>
      <c r="D57" s="27">
        <f t="shared" si="28"/>
        <v>77.25864904614555</v>
      </c>
      <c r="E57" s="27">
        <f t="shared" si="28"/>
        <v>76.50628861760353</v>
      </c>
      <c r="F57" s="27">
        <f t="shared" si="28"/>
        <v>75.741737247155</v>
      </c>
      <c r="G57" s="27">
        <f t="shared" si="28"/>
        <v>75.00610817833434</v>
      </c>
      <c r="H57" s="27">
        <f t="shared" si="28"/>
        <v>74.34950758005526</v>
      </c>
      <c r="I57" s="27">
        <f t="shared" si="28"/>
        <v>73.83209451379344</v>
      </c>
      <c r="J57" s="27">
        <f t="shared" si="28"/>
        <v>73.52252388030853</v>
      </c>
      <c r="K57" s="27">
        <f t="shared" si="28"/>
        <v>73.48990258248936</v>
      </c>
      <c r="L57" s="27">
        <f t="shared" si="28"/>
        <v>73.78490406713031</v>
      </c>
      <c r="M57" s="27">
        <f t="shared" si="28"/>
        <v>74.41105303160452</v>
      </c>
      <c r="N57" s="27">
        <f t="shared" si="28"/>
        <v>75.30177197090164</v>
      </c>
      <c r="O57" s="27">
        <f t="shared" si="28"/>
        <v>76.3292672407894</v>
      </c>
      <c r="P57" s="27">
        <f t="shared" si="28"/>
        <v>77.35019714776732</v>
      </c>
      <c r="Q57" s="27">
        <f t="shared" si="28"/>
        <v>78.25420485656826</v>
      </c>
      <c r="R57" s="27">
        <f t="shared" si="28"/>
        <v>78.98184500840617</v>
      </c>
      <c r="S57" s="27">
        <f t="shared" si="28"/>
        <v>79.51430965722594</v>
      </c>
      <c r="T57" s="27">
        <f t="shared" si="28"/>
        <v>79.8551935363112</v>
      </c>
      <c r="U57" s="27">
        <f t="shared" si="28"/>
        <v>80.01678991278688</v>
      </c>
      <c r="V57" s="27">
        <f t="shared" si="28"/>
        <v>80.01297493864016</v>
      </c>
      <c r="W57" s="27">
        <f t="shared" si="28"/>
        <v>79.85673042342214</v>
      </c>
      <c r="X57" s="27">
        <f t="shared" si="28"/>
        <v>79.56020217014886</v>
      </c>
      <c r="Y57" s="27">
        <f>DEGREES(Y56)</f>
        <v>79.13591137329807</v>
      </c>
      <c r="Z57" s="28">
        <f>DEGREES(Z56)</f>
        <v>78.59830075789097</v>
      </c>
    </row>
    <row r="58" spans="1:26" ht="15.75">
      <c r="A58" s="126" t="s">
        <v>39</v>
      </c>
      <c r="B58" s="33">
        <f aca="true" t="shared" si="29" ref="B58:Z58">((TAN(B56)*B49-B50)*COS(B56)*COS(B56))/($E$5-B47)</f>
        <v>-0.039245524586426335</v>
      </c>
      <c r="C58" s="27">
        <f t="shared" si="29"/>
        <v>-0.04492926153918161</v>
      </c>
      <c r="D58" s="27">
        <f t="shared" si="29"/>
        <v>-0.05623851213563367</v>
      </c>
      <c r="E58" s="27">
        <f t="shared" si="29"/>
        <v>-0.06554671060611726</v>
      </c>
      <c r="F58" s="27">
        <f t="shared" si="29"/>
        <v>-0.07073391273334924</v>
      </c>
      <c r="G58" s="27">
        <f t="shared" si="29"/>
        <v>-0.07014697727917332</v>
      </c>
      <c r="H58" s="27">
        <f t="shared" si="29"/>
        <v>-0.06222309593905018</v>
      </c>
      <c r="I58" s="27">
        <f t="shared" si="29"/>
        <v>-0.0456377418442687</v>
      </c>
      <c r="J58" s="27">
        <f t="shared" si="29"/>
        <v>-0.01985555222990595</v>
      </c>
      <c r="K58" s="27">
        <f t="shared" si="29"/>
        <v>0.013784612716182249</v>
      </c>
      <c r="L58" s="27">
        <f t="shared" si="29"/>
        <v>0.050756931608860294</v>
      </c>
      <c r="M58" s="27">
        <f t="shared" si="29"/>
        <v>0.08315501329468773</v>
      </c>
      <c r="N58" s="27">
        <f t="shared" si="29"/>
        <v>0.10246840644073539</v>
      </c>
      <c r="O58" s="27">
        <f t="shared" si="29"/>
        <v>0.10452292568948139</v>
      </c>
      <c r="P58" s="27">
        <f t="shared" si="29"/>
        <v>0.09182426194675988</v>
      </c>
      <c r="Q58" s="27">
        <f t="shared" si="29"/>
        <v>0.07092585066604581</v>
      </c>
      <c r="R58" s="27">
        <f t="shared" si="29"/>
        <v>0.04838339009721695</v>
      </c>
      <c r="S58" s="27">
        <f t="shared" si="29"/>
        <v>0.028625841680104885</v>
      </c>
      <c r="T58" s="27">
        <f t="shared" si="29"/>
        <v>0.013654209981969702</v>
      </c>
      <c r="U58" s="27">
        <f t="shared" si="29"/>
        <v>0.00348985549395312</v>
      </c>
      <c r="V58" s="27">
        <f t="shared" si="29"/>
        <v>-0.0032647384693194627</v>
      </c>
      <c r="W58" s="27">
        <f t="shared" si="29"/>
        <v>-0.008964515193181293</v>
      </c>
      <c r="X58" s="27">
        <f t="shared" si="29"/>
        <v>-0.01607057585448249</v>
      </c>
      <c r="Y58" s="27">
        <f t="shared" si="29"/>
        <v>-0.0256814003504426</v>
      </c>
      <c r="Z58" s="28">
        <f t="shared" si="29"/>
        <v>-0.037293921113046594</v>
      </c>
    </row>
    <row r="59" spans="1:26" ht="15.75">
      <c r="A59" s="126" t="s">
        <v>43</v>
      </c>
      <c r="B59" s="33">
        <f aca="true" t="shared" si="30" ref="B59:Z59">(COS(B56)*COS(B56)*(($F$5-B48)*B49-B50*($E$5-B47)))/($E$5-B47)^2</f>
        <v>-0.039245524586426335</v>
      </c>
      <c r="C59" s="27">
        <f t="shared" si="30"/>
        <v>-0.0449292615391816</v>
      </c>
      <c r="D59" s="27">
        <f t="shared" si="30"/>
        <v>-0.05623851213563367</v>
      </c>
      <c r="E59" s="27">
        <f t="shared" si="30"/>
        <v>-0.06554671060611726</v>
      </c>
      <c r="F59" s="27">
        <f t="shared" si="30"/>
        <v>-0.07073391273334924</v>
      </c>
      <c r="G59" s="27">
        <f t="shared" si="30"/>
        <v>-0.07014697727917332</v>
      </c>
      <c r="H59" s="27">
        <f t="shared" si="30"/>
        <v>-0.062223095939050184</v>
      </c>
      <c r="I59" s="27">
        <f t="shared" si="30"/>
        <v>-0.0456377418442687</v>
      </c>
      <c r="J59" s="27">
        <f t="shared" si="30"/>
        <v>-0.019855552229905947</v>
      </c>
      <c r="K59" s="27">
        <f t="shared" si="30"/>
        <v>0.013784612716182249</v>
      </c>
      <c r="L59" s="27">
        <f t="shared" si="30"/>
        <v>0.050756931608860294</v>
      </c>
      <c r="M59" s="27">
        <f t="shared" si="30"/>
        <v>0.08315501329468773</v>
      </c>
      <c r="N59" s="27">
        <f t="shared" si="30"/>
        <v>0.10246840644073539</v>
      </c>
      <c r="O59" s="27">
        <f t="shared" si="30"/>
        <v>0.10452292568948139</v>
      </c>
      <c r="P59" s="27">
        <f t="shared" si="30"/>
        <v>0.09182426194675988</v>
      </c>
      <c r="Q59" s="27">
        <f t="shared" si="30"/>
        <v>0.07092585066604583</v>
      </c>
      <c r="R59" s="27">
        <f t="shared" si="30"/>
        <v>0.04838339009721695</v>
      </c>
      <c r="S59" s="27">
        <f t="shared" si="30"/>
        <v>0.028625841680104885</v>
      </c>
      <c r="T59" s="27">
        <f t="shared" si="30"/>
        <v>0.0136542099819697</v>
      </c>
      <c r="U59" s="27">
        <f t="shared" si="30"/>
        <v>0.0034898554939531198</v>
      </c>
      <c r="V59" s="27">
        <f t="shared" si="30"/>
        <v>-0.003264738469319462</v>
      </c>
      <c r="W59" s="27">
        <f t="shared" si="30"/>
        <v>-0.008964515193181291</v>
      </c>
      <c r="X59" s="27">
        <f t="shared" si="30"/>
        <v>-0.01607057585448249</v>
      </c>
      <c r="Y59" s="27">
        <f t="shared" si="30"/>
        <v>-0.0256814003504426</v>
      </c>
      <c r="Z59" s="28">
        <f t="shared" si="30"/>
        <v>-0.037293921113046594</v>
      </c>
    </row>
    <row r="60" spans="1:26" ht="15.75">
      <c r="A60" s="126" t="s">
        <v>40</v>
      </c>
      <c r="B60" s="33">
        <f aca="true" t="shared" si="31" ref="B60:Z60">(((B51*($F$5-B48)-B49*B50)*($E$5-B47)+2*(B49^2)*($F$5-B48))*COS(B56)*COS(B56)/($E$5-B47)^3)+(((-B52*($E$5-B47)+B50*B49)-B50*2*B49)*COS(B56)*COS(B56)/($E$5-B47)^2)-2*COS(B56)*SIN(B56)*B58*B58</f>
        <v>-0.00974668948540769</v>
      </c>
      <c r="C60" s="27">
        <f t="shared" si="31"/>
        <v>-0.026163438545598376</v>
      </c>
      <c r="D60" s="27">
        <f t="shared" si="31"/>
        <v>-0.05458637081423919</v>
      </c>
      <c r="E60" s="27">
        <f t="shared" si="31"/>
        <v>-0.07470842546764946</v>
      </c>
      <c r="F60" s="27">
        <f t="shared" si="31"/>
        <v>-0.06453191390997783</v>
      </c>
      <c r="G60" s="27">
        <f t="shared" si="31"/>
        <v>-0.006156982970878833</v>
      </c>
      <c r="H60" s="27">
        <f t="shared" si="31"/>
        <v>0.1062882372870703</v>
      </c>
      <c r="I60" s="27">
        <f t="shared" si="31"/>
        <v>0.2616436877707117</v>
      </c>
      <c r="J60" s="27">
        <f t="shared" si="31"/>
        <v>0.43104657139239405</v>
      </c>
      <c r="K60" s="27">
        <f t="shared" si="31"/>
        <v>0.5722128940817057</v>
      </c>
      <c r="L60" s="27">
        <f t="shared" si="31"/>
        <v>0.6399024141645628</v>
      </c>
      <c r="M60" s="27">
        <f t="shared" si="31"/>
        <v>0.6044000263617212</v>
      </c>
      <c r="N60" s="27">
        <f t="shared" si="31"/>
        <v>0.472627873998432</v>
      </c>
      <c r="O60" s="27">
        <f t="shared" si="31"/>
        <v>0.2909713989714637</v>
      </c>
      <c r="P60" s="27">
        <f t="shared" si="31"/>
        <v>0.1189158097716783</v>
      </c>
      <c r="Q60" s="27">
        <f t="shared" si="31"/>
        <v>-0.001012562485235429</v>
      </c>
      <c r="R60" s="27">
        <f t="shared" si="31"/>
        <v>-0.055328882951639076</v>
      </c>
      <c r="S60" s="27">
        <f t="shared" si="31"/>
        <v>-0.05763602882750715</v>
      </c>
      <c r="T60" s="27">
        <f t="shared" si="31"/>
        <v>-0.03582489468118234</v>
      </c>
      <c r="U60" s="27">
        <f t="shared" si="31"/>
        <v>-0.01370913236353432</v>
      </c>
      <c r="V60" s="27">
        <f t="shared" si="31"/>
        <v>-0.00096074444777527</v>
      </c>
      <c r="W60" s="27">
        <f t="shared" si="31"/>
        <v>0.003658036970102438</v>
      </c>
      <c r="X60" s="27">
        <f t="shared" si="31"/>
        <v>0.003314550415215614</v>
      </c>
      <c r="Y60" s="27">
        <f t="shared" si="31"/>
        <v>-0.0036210306090742623</v>
      </c>
      <c r="Z60" s="28">
        <f t="shared" si="31"/>
        <v>-0.022124152518881404</v>
      </c>
    </row>
    <row r="61" spans="1:26" ht="15.75">
      <c r="A61" s="126" t="s">
        <v>44</v>
      </c>
      <c r="B61" s="33">
        <f>((COS(B56)*COS(B56)*(($F$5-B48)*B51-B52*($E$5-B47)))/($E$5-B47)^2)+(((COS(B56)*COS(B56)*(($F$5-B48)*B49-B50*($E$5-B47)))/($E$5-B47)^3)*2*B49)-2*SIN(B56)*COS(B56)*B58*((COS(B56)*COS(B56)*(($F$5-B48)*B49-B50*($E$5-B47)))/($E$5-B47)^2)</f>
        <v>-0.00974668948540769</v>
      </c>
      <c r="C61" s="27">
        <f aca="true" t="shared" si="32" ref="C61:Z61">((COS(C56)*COS(C56)*(($F$5-C48)*C51-C52*($E$5-C47)))/($E$5-C47)^2)+(((COS(C56)*COS(C56)*(($F$5-C48)*C49-C50*($E$5-C47)))/($E$5-C47)^3)*2*C49)-2*SIN(C56)*COS(C56)*C58*((COS(C56)*COS(C56)*(($F$5-C48)*C49-C50*($E$5-C47)))/($E$5-C47)^2)</f>
        <v>-0.026163438545598376</v>
      </c>
      <c r="D61" s="27">
        <f t="shared" si="32"/>
        <v>-0.054586370814239185</v>
      </c>
      <c r="E61" s="27">
        <f t="shared" si="32"/>
        <v>-0.07470842546764946</v>
      </c>
      <c r="F61" s="27">
        <f t="shared" si="32"/>
        <v>-0.06453191390997783</v>
      </c>
      <c r="G61" s="27">
        <f t="shared" si="32"/>
        <v>-0.006156982970878841</v>
      </c>
      <c r="H61" s="27">
        <f t="shared" si="32"/>
        <v>0.1062882372870703</v>
      </c>
      <c r="I61" s="27">
        <f t="shared" si="32"/>
        <v>0.2616436877707116</v>
      </c>
      <c r="J61" s="27">
        <f t="shared" si="32"/>
        <v>0.4310465713923941</v>
      </c>
      <c r="K61" s="27">
        <f t="shared" si="32"/>
        <v>0.5722128940817056</v>
      </c>
      <c r="L61" s="27">
        <f t="shared" si="32"/>
        <v>0.6399024141645627</v>
      </c>
      <c r="M61" s="27">
        <f t="shared" si="32"/>
        <v>0.6044000263617213</v>
      </c>
      <c r="N61" s="27">
        <f t="shared" si="32"/>
        <v>0.472627873998432</v>
      </c>
      <c r="O61" s="27">
        <f t="shared" si="32"/>
        <v>0.2909713989714636</v>
      </c>
      <c r="P61" s="27">
        <f t="shared" si="32"/>
        <v>0.11891580977167832</v>
      </c>
      <c r="Q61" s="27">
        <f t="shared" si="32"/>
        <v>-0.001012562485235453</v>
      </c>
      <c r="R61" s="27">
        <f t="shared" si="32"/>
        <v>-0.055328882951639076</v>
      </c>
      <c r="S61" s="27">
        <f t="shared" si="32"/>
        <v>-0.05763602882750716</v>
      </c>
      <c r="T61" s="27">
        <f t="shared" si="32"/>
        <v>-0.035824894681182336</v>
      </c>
      <c r="U61" s="27">
        <f t="shared" si="32"/>
        <v>-0.013709132363534318</v>
      </c>
      <c r="V61" s="27">
        <f t="shared" si="32"/>
        <v>-0.0009607444477752702</v>
      </c>
      <c r="W61" s="27">
        <f t="shared" si="32"/>
        <v>0.0036580369701024393</v>
      </c>
      <c r="X61" s="27">
        <f t="shared" si="32"/>
        <v>0.0033145504152156096</v>
      </c>
      <c r="Y61" s="27">
        <f t="shared" si="32"/>
        <v>-0.0036210306090742658</v>
      </c>
      <c r="Z61" s="28">
        <f t="shared" si="32"/>
        <v>-0.0221241525188814</v>
      </c>
    </row>
    <row r="62" spans="1:26" ht="16.5" thickBot="1">
      <c r="A62" s="127" t="s">
        <v>45</v>
      </c>
      <c r="B62" s="34">
        <f>B56-$B$56</f>
        <v>0</v>
      </c>
      <c r="C62" s="29">
        <f>C56-$B$56</f>
        <v>-0.011050624670997822</v>
      </c>
      <c r="D62" s="29">
        <f aca="true" t="shared" si="33" ref="D62:Z62">D56-$B$56</f>
        <v>-0.023381333199935517</v>
      </c>
      <c r="E62" s="29">
        <f t="shared" si="33"/>
        <v>-0.03651249983970928</v>
      </c>
      <c r="F62" s="29">
        <f t="shared" si="33"/>
        <v>-0.049856438554671145</v>
      </c>
      <c r="G62" s="29">
        <f t="shared" si="33"/>
        <v>-0.06269558787897145</v>
      </c>
      <c r="H62" s="29">
        <f t="shared" si="33"/>
        <v>-0.07415543018950599</v>
      </c>
      <c r="I62" s="29">
        <f t="shared" si="33"/>
        <v>-0.08318599178861463</v>
      </c>
      <c r="J62" s="29">
        <f t="shared" si="33"/>
        <v>-0.0885890186104108</v>
      </c>
      <c r="K62" s="29">
        <f t="shared" si="33"/>
        <v>-0.08915836766362895</v>
      </c>
      <c r="L62" s="29">
        <f t="shared" si="33"/>
        <v>-0.08400962045837268</v>
      </c>
      <c r="M62" s="29">
        <f t="shared" si="33"/>
        <v>-0.07308125942034471</v>
      </c>
      <c r="N62" s="29">
        <f t="shared" si="33"/>
        <v>-0.05753528121973872</v>
      </c>
      <c r="O62" s="29">
        <f t="shared" si="33"/>
        <v>-0.039602105711529445</v>
      </c>
      <c r="P62" s="29">
        <f t="shared" si="33"/>
        <v>-0.02178351740268547</v>
      </c>
      <c r="Q62" s="29">
        <f t="shared" si="33"/>
        <v>-0.006005606420698806</v>
      </c>
      <c r="R62" s="29">
        <f t="shared" si="33"/>
        <v>0.006694109998584219</v>
      </c>
      <c r="S62" s="29">
        <f t="shared" si="33"/>
        <v>0.01598737127096439</v>
      </c>
      <c r="T62" s="29">
        <f t="shared" si="33"/>
        <v>0.02193691732797265</v>
      </c>
      <c r="U62" s="29">
        <f t="shared" si="33"/>
        <v>0.024757306156765413</v>
      </c>
      <c r="V62" s="29">
        <f t="shared" si="33"/>
        <v>0.024690722297026735</v>
      </c>
      <c r="W62" s="29">
        <f t="shared" si="33"/>
        <v>0.0219637410682898</v>
      </c>
      <c r="X62" s="29">
        <f t="shared" si="33"/>
        <v>0.016788346723483505</v>
      </c>
      <c r="Y62" s="29">
        <f t="shared" si="33"/>
        <v>0.009383075332526802</v>
      </c>
      <c r="Z62" s="30">
        <f t="shared" si="33"/>
        <v>0</v>
      </c>
    </row>
    <row r="63" spans="2:26" ht="16.5" thickBo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3" ht="16.5" thickBot="1">
      <c r="A64" s="179" t="s">
        <v>50</v>
      </c>
      <c r="B64" s="181"/>
      <c r="C64" s="180"/>
    </row>
    <row r="65" spans="1:26" ht="15.75">
      <c r="A65" s="123" t="s">
        <v>20</v>
      </c>
      <c r="B65" s="32">
        <f aca="true" t="shared" si="34" ref="B65:Z65">B47+($E$5-$E$4)*COS(B62)-($F$5-$F$4)*SIN(B62)</f>
        <v>3</v>
      </c>
      <c r="C65" s="25">
        <f t="shared" si="34"/>
        <v>3.0547344311042606</v>
      </c>
      <c r="D65" s="25">
        <f t="shared" si="34"/>
        <v>3.115656850191403</v>
      </c>
      <c r="E65" s="25">
        <f t="shared" si="34"/>
        <v>3.1803473741393495</v>
      </c>
      <c r="F65" s="25">
        <f t="shared" si="34"/>
        <v>3.245877560558745</v>
      </c>
      <c r="G65" s="25">
        <f t="shared" si="34"/>
        <v>3.3087195272359406</v>
      </c>
      <c r="H65" s="25">
        <f t="shared" si="34"/>
        <v>3.3646284954500745</v>
      </c>
      <c r="I65" s="25">
        <f t="shared" si="34"/>
        <v>3.408559877467282</v>
      </c>
      <c r="J65" s="25">
        <f t="shared" si="34"/>
        <v>3.4347895327934337</v>
      </c>
      <c r="K65" s="25">
        <f t="shared" si="34"/>
        <v>3.4375510813793753</v>
      </c>
      <c r="L65" s="25">
        <f t="shared" si="34"/>
        <v>3.4125609590594808</v>
      </c>
      <c r="M65" s="25">
        <f t="shared" si="34"/>
        <v>3.359395452213409</v>
      </c>
      <c r="N65" s="25">
        <f t="shared" si="34"/>
        <v>3.283487452459223</v>
      </c>
      <c r="O65" s="25">
        <f t="shared" si="34"/>
        <v>3.19553911370543</v>
      </c>
      <c r="P65" s="25">
        <f t="shared" si="34"/>
        <v>3.10777188009177</v>
      </c>
      <c r="Q65" s="25">
        <f t="shared" si="34"/>
        <v>3.0297617180189893</v>
      </c>
      <c r="R65" s="25">
        <f t="shared" si="34"/>
        <v>2.9667838371313384</v>
      </c>
      <c r="S65" s="25">
        <f t="shared" si="34"/>
        <v>2.920599190007538</v>
      </c>
      <c r="T65" s="25">
        <f t="shared" si="34"/>
        <v>2.89098978327172</v>
      </c>
      <c r="U65" s="25">
        <f t="shared" si="34"/>
        <v>2.876942328199266</v>
      </c>
      <c r="V65" s="25">
        <f t="shared" si="34"/>
        <v>2.8772740419547307</v>
      </c>
      <c r="W65" s="25">
        <f t="shared" si="34"/>
        <v>2.8908562160023705</v>
      </c>
      <c r="X65" s="25">
        <f t="shared" si="34"/>
        <v>2.916614810102035</v>
      </c>
      <c r="Y65" s="25">
        <f t="shared" si="34"/>
        <v>2.953428915601995</v>
      </c>
      <c r="Z65" s="26">
        <f t="shared" si="34"/>
        <v>3</v>
      </c>
    </row>
    <row r="66" spans="1:26" ht="15.75">
      <c r="A66" s="124" t="s">
        <v>21</v>
      </c>
      <c r="B66" s="33">
        <f aca="true" t="shared" si="35" ref="B66:Z66">B48+($E$5-$E$4)*SIN(B62)+($F$5-$F$4)*COS(B62)</f>
        <v>1</v>
      </c>
      <c r="C66" s="27">
        <f t="shared" si="35"/>
        <v>1.2567372119505817</v>
      </c>
      <c r="D66" s="27">
        <f t="shared" si="35"/>
        <v>1.5114884154024186</v>
      </c>
      <c r="E66" s="27">
        <f t="shared" si="35"/>
        <v>1.7515642639416158</v>
      </c>
      <c r="F66" s="27">
        <f t="shared" si="35"/>
        <v>1.9675603353308246</v>
      </c>
      <c r="G66" s="27">
        <f t="shared" si="35"/>
        <v>2.1526484722731087</v>
      </c>
      <c r="H66" s="27">
        <f t="shared" si="35"/>
        <v>2.301523170371436</v>
      </c>
      <c r="I66" s="27">
        <f t="shared" si="35"/>
        <v>2.4092182450065227</v>
      </c>
      <c r="J66" s="27">
        <f t="shared" si="35"/>
        <v>2.469946606664617</v>
      </c>
      <c r="K66" s="27">
        <f t="shared" si="35"/>
        <v>2.4761923187837307</v>
      </c>
      <c r="L66" s="27">
        <f t="shared" si="35"/>
        <v>2.418648888427289</v>
      </c>
      <c r="M66" s="27">
        <f t="shared" si="35"/>
        <v>2.288169235465777</v>
      </c>
      <c r="N66" s="27">
        <f t="shared" si="35"/>
        <v>2.080726065976392</v>
      </c>
      <c r="O66" s="27">
        <f t="shared" si="35"/>
        <v>1.8039181148315744</v>
      </c>
      <c r="P66" s="27">
        <f t="shared" si="35"/>
        <v>1.4801827187589889</v>
      </c>
      <c r="Q66" s="27">
        <f t="shared" si="35"/>
        <v>1.1431376643353586</v>
      </c>
      <c r="R66" s="27">
        <f t="shared" si="35"/>
        <v>0.829406270206988</v>
      </c>
      <c r="S66" s="27">
        <f t="shared" si="35"/>
        <v>0.5709936350248803</v>
      </c>
      <c r="T66" s="27">
        <f t="shared" si="35"/>
        <v>0.39078000586823514</v>
      </c>
      <c r="U66" s="27">
        <f t="shared" si="35"/>
        <v>0.300907374605651</v>
      </c>
      <c r="V66" s="27">
        <f t="shared" si="35"/>
        <v>0.30306364331170066</v>
      </c>
      <c r="W66" s="27">
        <f t="shared" si="35"/>
        <v>0.38993916413744145</v>
      </c>
      <c r="X66" s="27">
        <f t="shared" si="35"/>
        <v>0.5474405047442996</v>
      </c>
      <c r="Y66" s="27">
        <f t="shared" si="35"/>
        <v>0.7573407959638523</v>
      </c>
      <c r="Z66" s="28">
        <f t="shared" si="35"/>
        <v>1</v>
      </c>
    </row>
    <row r="67" spans="1:26" ht="15.75">
      <c r="A67" s="124" t="s">
        <v>22</v>
      </c>
      <c r="B67" s="33">
        <f>B49-B58*(B66-B48)</f>
        <v>0.19460632581354184</v>
      </c>
      <c r="C67" s="27">
        <f aca="true" t="shared" si="36" ref="C67:Z67">C49-C58*(C66-C48)</f>
        <v>0.22228011674184026</v>
      </c>
      <c r="D67" s="27">
        <f t="shared" si="36"/>
        <v>0.2774782201422109</v>
      </c>
      <c r="E67" s="27">
        <f t="shared" si="36"/>
        <v>0.32241633616836207</v>
      </c>
      <c r="F67" s="27">
        <f t="shared" si="36"/>
        <v>0.3467865193726765</v>
      </c>
      <c r="G67" s="27">
        <f t="shared" si="36"/>
        <v>0.34275857016957384</v>
      </c>
      <c r="H67" s="27">
        <f t="shared" si="36"/>
        <v>0.3030870287271426</v>
      </c>
      <c r="I67" s="27">
        <f t="shared" si="36"/>
        <v>0.22172874738783938</v>
      </c>
      <c r="J67" s="27">
        <f t="shared" si="36"/>
        <v>0.0963147163147985</v>
      </c>
      <c r="K67" s="27">
        <f t="shared" si="36"/>
        <v>-0.06685471385409487</v>
      </c>
      <c r="L67" s="27">
        <f t="shared" si="36"/>
        <v>-0.24654111339879384</v>
      </c>
      <c r="M67" s="27">
        <f t="shared" si="36"/>
        <v>-0.4051674944187354</v>
      </c>
      <c r="N67" s="27">
        <f>N49-N58*(N66-N48)</f>
        <v>-0.5013758308486906</v>
      </c>
      <c r="O67" s="27">
        <f t="shared" si="36"/>
        <v>-0.5137519924274014</v>
      </c>
      <c r="P67" s="27">
        <f t="shared" si="36"/>
        <v>-0.45321977415019044</v>
      </c>
      <c r="Q67" s="27">
        <f t="shared" si="36"/>
        <v>-0.3512668972901782</v>
      </c>
      <c r="R67" s="27">
        <f t="shared" si="36"/>
        <v>-0.24023665896299634</v>
      </c>
      <c r="S67" s="27">
        <f t="shared" si="36"/>
        <v>-0.1423861201875273</v>
      </c>
      <c r="T67" s="27">
        <f t="shared" si="36"/>
        <v>-0.06799018870419656</v>
      </c>
      <c r="U67" s="27">
        <f t="shared" si="36"/>
        <v>-0.01738619331078532</v>
      </c>
      <c r="V67" s="27">
        <f t="shared" si="36"/>
        <v>0.016264486836915507</v>
      </c>
      <c r="W67" s="27">
        <f t="shared" si="36"/>
        <v>0.04463839399078173</v>
      </c>
      <c r="X67" s="27">
        <f t="shared" si="36"/>
        <v>0.07994753324966272</v>
      </c>
      <c r="Y67" s="27">
        <f t="shared" si="36"/>
        <v>0.12758142200959294</v>
      </c>
      <c r="Z67" s="28">
        <f t="shared" si="36"/>
        <v>0.1849289323934844</v>
      </c>
    </row>
    <row r="68" spans="1:26" ht="15.75">
      <c r="A68" s="124" t="s">
        <v>23</v>
      </c>
      <c r="B68" s="33">
        <f>B50+B58*(B65-B47)</f>
        <v>0.9649921219232432</v>
      </c>
      <c r="C68" s="27">
        <f aca="true" t="shared" si="37" ref="C68:Z68">C50+C58*(C65-C47)</f>
        <v>0.9860613786386865</v>
      </c>
      <c r="D68" s="27">
        <f t="shared" si="37"/>
        <v>1.0934196987009337</v>
      </c>
      <c r="E68" s="27">
        <f t="shared" si="37"/>
        <v>1.1264965484001799</v>
      </c>
      <c r="F68" s="27">
        <f t="shared" si="37"/>
        <v>1.07794069295969</v>
      </c>
      <c r="G68" s="27">
        <f t="shared" si="37"/>
        <v>0.9561993883002569</v>
      </c>
      <c r="H68" s="27">
        <f t="shared" si="37"/>
        <v>0.7700944748165703</v>
      </c>
      <c r="I68" s="27">
        <f t="shared" si="37"/>
        <v>0.5243159958732994</v>
      </c>
      <c r="J68" s="27">
        <f t="shared" si="37"/>
        <v>0.2183153115987226</v>
      </c>
      <c r="K68" s="27">
        <f t="shared" si="37"/>
        <v>-0.15086852228010755</v>
      </c>
      <c r="L68" s="27">
        <f t="shared" si="37"/>
        <v>-0.5792222992071892</v>
      </c>
      <c r="M68" s="27">
        <f t="shared" si="37"/>
        <v>-1.0384043819306077</v>
      </c>
      <c r="N68" s="27">
        <f t="shared" si="37"/>
        <v>-1.460153292568348</v>
      </c>
      <c r="O68" s="27">
        <f t="shared" si="37"/>
        <v>-1.7462823993952077</v>
      </c>
      <c r="P68" s="27">
        <f t="shared" si="37"/>
        <v>-1.8129902237705933</v>
      </c>
      <c r="Q68" s="27">
        <f t="shared" si="37"/>
        <v>-1.6384653391584534</v>
      </c>
      <c r="R68" s="27">
        <f t="shared" si="37"/>
        <v>-1.277821101545645</v>
      </c>
      <c r="S68" s="27">
        <f t="shared" si="37"/>
        <v>-0.8379449530047194</v>
      </c>
      <c r="T68" s="27">
        <f t="shared" si="37"/>
        <v>-0.42795057420032145</v>
      </c>
      <c r="U68" s="27">
        <f t="shared" si="37"/>
        <v>-0.11306085745904877</v>
      </c>
      <c r="V68" s="27">
        <f t="shared" si="37"/>
        <v>0.10568452257473841</v>
      </c>
      <c r="W68" s="27">
        <f t="shared" si="37"/>
        <v>0.28105389871015624</v>
      </c>
      <c r="X68" s="27">
        <f t="shared" si="37"/>
        <v>0.4747146549277544</v>
      </c>
      <c r="Y68" s="27">
        <f t="shared" si="37"/>
        <v>0.698431584994622</v>
      </c>
      <c r="Z68" s="28">
        <f t="shared" si="37"/>
        <v>0.9170049438494181</v>
      </c>
    </row>
    <row r="69" spans="1:26" ht="15.75">
      <c r="A69" s="124" t="s">
        <v>24</v>
      </c>
      <c r="B69" s="33">
        <f>B51-B60*(B66-B48)-B58^2*(B65-B47)</f>
        <v>0.046790584466168454</v>
      </c>
      <c r="C69" s="27">
        <f aca="true" t="shared" si="38" ref="C69:Z69">C51-C60*(C66-C48)-C58^2*(C65-C47)</f>
        <v>0.12731017267315098</v>
      </c>
      <c r="D69" s="27">
        <f t="shared" si="38"/>
        <v>0.09786700245017192</v>
      </c>
      <c r="E69" s="27">
        <f t="shared" si="38"/>
        <v>0.03411893132966876</v>
      </c>
      <c r="F69" s="27">
        <f t="shared" si="38"/>
        <v>-0.07056375450407185</v>
      </c>
      <c r="G69" s="27">
        <f t="shared" si="38"/>
        <v>-0.24120061285645528</v>
      </c>
      <c r="H69" s="27">
        <f t="shared" si="38"/>
        <v>-0.49914395003147993</v>
      </c>
      <c r="I69" s="27">
        <f t="shared" si="38"/>
        <v>-0.8392260530415201</v>
      </c>
      <c r="J69" s="27">
        <f t="shared" si="38"/>
        <v>-1.2118127989895702</v>
      </c>
      <c r="K69" s="27">
        <f t="shared" si="38"/>
        <v>-1.517173409381364</v>
      </c>
      <c r="L69" s="27">
        <f t="shared" si="38"/>
        <v>-1.623611628121051</v>
      </c>
      <c r="M69" s="27">
        <f t="shared" si="38"/>
        <v>-1.4285734995437995</v>
      </c>
      <c r="N69" s="27">
        <f t="shared" si="38"/>
        <v>-0.9523836522257707</v>
      </c>
      <c r="O69" s="27">
        <f t="shared" si="38"/>
        <v>-0.36879655391634614</v>
      </c>
      <c r="P69" s="27">
        <f t="shared" si="38"/>
        <v>0.10337867331648018</v>
      </c>
      <c r="Q69" s="27">
        <f t="shared" si="38"/>
        <v>0.34297050695311637</v>
      </c>
      <c r="R69" s="27">
        <f t="shared" si="38"/>
        <v>0.36913783055367727</v>
      </c>
      <c r="S69" s="27">
        <f t="shared" si="38"/>
        <v>0.2828819314912345</v>
      </c>
      <c r="T69" s="27">
        <f t="shared" si="38"/>
        <v>0.18031500606210096</v>
      </c>
      <c r="U69" s="27">
        <f t="shared" si="38"/>
        <v>0.10904600386156821</v>
      </c>
      <c r="V69" s="27">
        <f t="shared" si="38"/>
        <v>0.0787221330774742</v>
      </c>
      <c r="W69" s="27">
        <f t="shared" si="38"/>
        <v>0.08425632817947493</v>
      </c>
      <c r="X69" s="27">
        <f t="shared" si="38"/>
        <v>0.11284436065523988</v>
      </c>
      <c r="Y69" s="27">
        <f t="shared" si="38"/>
        <v>0.14260380682615034</v>
      </c>
      <c r="Z69" s="28">
        <f t="shared" si="38"/>
        <v>0.1532143665156191</v>
      </c>
    </row>
    <row r="70" spans="1:26" ht="15.75">
      <c r="A70" s="124" t="s">
        <v>25</v>
      </c>
      <c r="B70" s="33">
        <f>B52+B60*(B65-B47)-B58^2*(B66-B48)</f>
        <v>0.21674507169993795</v>
      </c>
      <c r="C70" s="27">
        <f aca="true" t="shared" si="39" ref="C70:Z70">C52+C60*(C65-C47)-C58^2*(C66-C48)</f>
        <v>0.5452842057786343</v>
      </c>
      <c r="D70" s="27">
        <f t="shared" si="39"/>
        <v>0.2750491144991862</v>
      </c>
      <c r="E70" s="27">
        <f t="shared" si="39"/>
        <v>-0.14108495423843234</v>
      </c>
      <c r="F70" s="27">
        <f t="shared" si="39"/>
        <v>-0.5786254551151061</v>
      </c>
      <c r="G70" s="27">
        <f t="shared" si="39"/>
        <v>-0.9656983074944784</v>
      </c>
      <c r="H70" s="27">
        <f t="shared" si="39"/>
        <v>-1.2767678266480176</v>
      </c>
      <c r="I70" s="27">
        <f t="shared" si="39"/>
        <v>-1.5303800222295414</v>
      </c>
      <c r="J70" s="27">
        <f t="shared" si="39"/>
        <v>-1.7700343121653668</v>
      </c>
      <c r="K70" s="27">
        <f t="shared" si="39"/>
        <v>-2.0196861797214942</v>
      </c>
      <c r="L70" s="27">
        <f t="shared" si="39"/>
        <v>-2.2151487589005696</v>
      </c>
      <c r="M70" s="27">
        <f t="shared" si="39"/>
        <v>-2.1621378145291166</v>
      </c>
      <c r="N70" s="27">
        <f t="shared" si="39"/>
        <v>-1.629571839069531</v>
      </c>
      <c r="O70" s="27">
        <f t="shared" si="39"/>
        <v>-0.5874640593713286</v>
      </c>
      <c r="P70" s="27">
        <f t="shared" si="39"/>
        <v>0.652706347247639</v>
      </c>
      <c r="Q70" s="27">
        <f t="shared" si="39"/>
        <v>1.6003865554220864</v>
      </c>
      <c r="R70" s="27">
        <f t="shared" si="39"/>
        <v>1.9221104623386727</v>
      </c>
      <c r="S70" s="27">
        <f t="shared" si="39"/>
        <v>1.657742950703472</v>
      </c>
      <c r="T70" s="27">
        <f t="shared" si="39"/>
        <v>1.131512596171937</v>
      </c>
      <c r="U70" s="27">
        <f t="shared" si="39"/>
        <v>0.6754873417438944</v>
      </c>
      <c r="V70" s="27">
        <f t="shared" si="39"/>
        <v>0.45084662085229504</v>
      </c>
      <c r="W70" s="27">
        <f t="shared" si="39"/>
        <v>0.4571806946592699</v>
      </c>
      <c r="X70" s="27">
        <f t="shared" si="39"/>
        <v>0.6012234077577293</v>
      </c>
      <c r="Y70" s="27">
        <f t="shared" si="39"/>
        <v>0.7409128432753127</v>
      </c>
      <c r="Z70" s="28">
        <f t="shared" si="39"/>
        <v>0.7459488452652977</v>
      </c>
    </row>
    <row r="71" spans="1:26" ht="16.5" thickBot="1">
      <c r="A71" s="122" t="s">
        <v>47</v>
      </c>
      <c r="B71" s="119">
        <f>SQRT((B65-B47)^2+(B66-B48)^2)</f>
        <v>5.058516602465401</v>
      </c>
      <c r="C71" s="120">
        <f>SQRT((C65-C47)^2+(C66-C48)^2)</f>
        <v>5.058516602465401</v>
      </c>
      <c r="D71" s="120">
        <f aca="true" t="shared" si="40" ref="D71:Z71">SQRT((D65-D47)^2+(D66-D48)^2)</f>
        <v>5.0585166024654</v>
      </c>
      <c r="E71" s="120">
        <f t="shared" si="40"/>
        <v>5.058516602465401</v>
      </c>
      <c r="F71" s="120">
        <f t="shared" si="40"/>
        <v>5.058516602465401</v>
      </c>
      <c r="G71" s="120">
        <f t="shared" si="40"/>
        <v>5.058516602465401</v>
      </c>
      <c r="H71" s="120">
        <f t="shared" si="40"/>
        <v>5.058516602465401</v>
      </c>
      <c r="I71" s="120">
        <f t="shared" si="40"/>
        <v>5.058516602465401</v>
      </c>
      <c r="J71" s="120">
        <f t="shared" si="40"/>
        <v>5.058516602465401</v>
      </c>
      <c r="K71" s="120">
        <f t="shared" si="40"/>
        <v>5.058516602465401</v>
      </c>
      <c r="L71" s="120">
        <f t="shared" si="40"/>
        <v>5.058516602465401</v>
      </c>
      <c r="M71" s="120">
        <f t="shared" si="40"/>
        <v>5.058516602465401</v>
      </c>
      <c r="N71" s="120">
        <f t="shared" si="40"/>
        <v>5.058516602465402</v>
      </c>
      <c r="O71" s="120">
        <f t="shared" si="40"/>
        <v>5.058516602465402</v>
      </c>
      <c r="P71" s="120">
        <f t="shared" si="40"/>
        <v>5.058516602465401</v>
      </c>
      <c r="Q71" s="120">
        <f t="shared" si="40"/>
        <v>5.058516602465401</v>
      </c>
      <c r="R71" s="120">
        <f t="shared" si="40"/>
        <v>5.058516602465401</v>
      </c>
      <c r="S71" s="120">
        <f t="shared" si="40"/>
        <v>5.058516602465401</v>
      </c>
      <c r="T71" s="120">
        <f t="shared" si="40"/>
        <v>5.058516602465402</v>
      </c>
      <c r="U71" s="120">
        <f t="shared" si="40"/>
        <v>5.058516602465402</v>
      </c>
      <c r="V71" s="120">
        <f t="shared" si="40"/>
        <v>5.058516602465401</v>
      </c>
      <c r="W71" s="120">
        <f t="shared" si="40"/>
        <v>5.058516602465401</v>
      </c>
      <c r="X71" s="120">
        <f t="shared" si="40"/>
        <v>5.058516602465401</v>
      </c>
      <c r="Y71" s="120">
        <f t="shared" si="40"/>
        <v>5.058516602465401</v>
      </c>
      <c r="Z71" s="121">
        <f t="shared" si="40"/>
        <v>5.058516602465401</v>
      </c>
    </row>
    <row r="72" spans="2:26" ht="15.7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2:26" ht="16.5" thickBot="1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6.5" thickBot="1">
      <c r="A74" s="168" t="s">
        <v>63</v>
      </c>
      <c r="B74" s="169"/>
      <c r="C74" s="17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6.5" thickBot="1">
      <c r="A75" s="129" t="s">
        <v>133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>
      <c r="A76" s="131" t="s">
        <v>20</v>
      </c>
      <c r="B76" s="32">
        <f>$H$2*COS(B23)-$I$2*SIN(B23)</f>
        <v>0.49992384757819563</v>
      </c>
      <c r="C76" s="25">
        <f aca="true" t="shared" si="41" ref="C76:Z76">$H$2*COS(C23)-$I$2*SIN(C23)</f>
        <v>0.48063084796915945</v>
      </c>
      <c r="D76" s="25">
        <f t="shared" si="41"/>
        <v>0.4285836503510562</v>
      </c>
      <c r="E76" s="25">
        <f t="shared" si="41"/>
        <v>0.3473291852294987</v>
      </c>
      <c r="F76" s="25">
        <f t="shared" si="41"/>
        <v>0.24240481012316858</v>
      </c>
      <c r="G76" s="25">
        <f t="shared" si="41"/>
        <v>0.12096094779983387</v>
      </c>
      <c r="H76" s="25">
        <f t="shared" si="41"/>
        <v>-0.008726203218641725</v>
      </c>
      <c r="I76" s="25">
        <f t="shared" si="41"/>
        <v>-0.13781867790849955</v>
      </c>
      <c r="J76" s="25">
        <f t="shared" si="41"/>
        <v>-0.25751903745502724</v>
      </c>
      <c r="K76" s="25">
        <f t="shared" si="41"/>
        <v>-0.3596699001693257</v>
      </c>
      <c r="L76" s="25">
        <f t="shared" si="41"/>
        <v>-0.4373098535696979</v>
      </c>
      <c r="M76" s="25">
        <f t="shared" si="41"/>
        <v>-0.4851478631379983</v>
      </c>
      <c r="N76" s="25">
        <f t="shared" si="41"/>
        <v>-0.49992384757819563</v>
      </c>
      <c r="O76" s="25">
        <f t="shared" si="41"/>
        <v>-0.48063084796915945</v>
      </c>
      <c r="P76" s="25">
        <f t="shared" si="41"/>
        <v>-0.42858365035105617</v>
      </c>
      <c r="Q76" s="25">
        <f t="shared" si="41"/>
        <v>-0.34732918522949857</v>
      </c>
      <c r="R76" s="25">
        <f t="shared" si="41"/>
        <v>-0.24240481012316833</v>
      </c>
      <c r="S76" s="25">
        <f t="shared" si="41"/>
        <v>-0.12096094779983381</v>
      </c>
      <c r="T76" s="25">
        <f t="shared" si="41"/>
        <v>0.008726203218641664</v>
      </c>
      <c r="U76" s="25">
        <f t="shared" si="41"/>
        <v>0.13781867790849978</v>
      </c>
      <c r="V76" s="25">
        <f t="shared" si="41"/>
        <v>0.2575190374550272</v>
      </c>
      <c r="W76" s="25">
        <f t="shared" si="41"/>
        <v>0.3596699001693255</v>
      </c>
      <c r="X76" s="25">
        <f t="shared" si="41"/>
        <v>0.437309853569698</v>
      </c>
      <c r="Y76" s="25">
        <f t="shared" si="41"/>
        <v>0.4851478631379983</v>
      </c>
      <c r="Z76" s="26">
        <f t="shared" si="41"/>
        <v>0.49992384757819563</v>
      </c>
    </row>
    <row r="77" spans="1:26" ht="15.75">
      <c r="A77" s="132" t="s">
        <v>21</v>
      </c>
      <c r="B77" s="33">
        <f>$H$2*SIN(B23)+$I$2*COS(B23)</f>
        <v>0.008726203218641756</v>
      </c>
      <c r="C77" s="27">
        <f aca="true" t="shared" si="42" ref="C77:Z77">$H$2*SIN(C23)+$I$2*COS(C23)</f>
        <v>0.1378186779084996</v>
      </c>
      <c r="D77" s="27">
        <f t="shared" si="42"/>
        <v>0.2575190374550271</v>
      </c>
      <c r="E77" s="27">
        <f t="shared" si="42"/>
        <v>0.35966990016932554</v>
      </c>
      <c r="F77" s="27">
        <f t="shared" si="42"/>
        <v>0.43730985356969787</v>
      </c>
      <c r="G77" s="27">
        <f t="shared" si="42"/>
        <v>0.4851478631379983</v>
      </c>
      <c r="H77" s="27">
        <f t="shared" si="42"/>
        <v>0.49992384757819563</v>
      </c>
      <c r="I77" s="27">
        <f t="shared" si="42"/>
        <v>0.48063084796915945</v>
      </c>
      <c r="J77" s="27">
        <f t="shared" si="42"/>
        <v>0.42858365035105606</v>
      </c>
      <c r="K77" s="27">
        <f t="shared" si="42"/>
        <v>0.3473291852294985</v>
      </c>
      <c r="L77" s="27">
        <f t="shared" si="42"/>
        <v>0.2424048101231685</v>
      </c>
      <c r="M77" s="27">
        <f t="shared" si="42"/>
        <v>0.12096094779983378</v>
      </c>
      <c r="N77" s="27">
        <f t="shared" si="42"/>
        <v>-0.008726203218641917</v>
      </c>
      <c r="O77" s="27">
        <f t="shared" si="42"/>
        <v>-0.1378186779084996</v>
      </c>
      <c r="P77" s="27">
        <f t="shared" si="42"/>
        <v>-0.2575190374550272</v>
      </c>
      <c r="Q77" s="27">
        <f t="shared" si="42"/>
        <v>-0.35966990016932565</v>
      </c>
      <c r="R77" s="27">
        <f t="shared" si="42"/>
        <v>-0.437309853569698</v>
      </c>
      <c r="S77" s="27">
        <f t="shared" si="42"/>
        <v>-0.4851478631379983</v>
      </c>
      <c r="T77" s="27">
        <f t="shared" si="42"/>
        <v>-0.49992384757819563</v>
      </c>
      <c r="U77" s="27">
        <f t="shared" si="42"/>
        <v>-0.4806308479691594</v>
      </c>
      <c r="V77" s="27">
        <f t="shared" si="42"/>
        <v>-0.42858365035105617</v>
      </c>
      <c r="W77" s="27">
        <f t="shared" si="42"/>
        <v>-0.34732918522949874</v>
      </c>
      <c r="X77" s="27">
        <f t="shared" si="42"/>
        <v>-0.24240481012316836</v>
      </c>
      <c r="Y77" s="27">
        <f t="shared" si="42"/>
        <v>-0.12096094779983384</v>
      </c>
      <c r="Z77" s="28">
        <f t="shared" si="42"/>
        <v>0.008726203218641633</v>
      </c>
    </row>
    <row r="78" spans="1:26" ht="15.75">
      <c r="A78" s="132" t="s">
        <v>22</v>
      </c>
      <c r="B78" s="33">
        <f>-B77*B24</f>
        <v>-0.008726203218641756</v>
      </c>
      <c r="C78" s="27">
        <f aca="true" t="shared" si="43" ref="C78:Z78">-C77*C24</f>
        <v>-0.1378186779084996</v>
      </c>
      <c r="D78" s="27">
        <f t="shared" si="43"/>
        <v>-0.2957660010749404</v>
      </c>
      <c r="E78" s="27">
        <f t="shared" si="43"/>
        <v>-0.46247656449192365</v>
      </c>
      <c r="F78" s="27">
        <f t="shared" si="43"/>
        <v>-0.6124151657745986</v>
      </c>
      <c r="G78" s="27">
        <f t="shared" si="43"/>
        <v>-0.7237793711481354</v>
      </c>
      <c r="H78" s="27">
        <f t="shared" si="43"/>
        <v>-0.7804440509205528</v>
      </c>
      <c r="I78" s="27">
        <f t="shared" si="43"/>
        <v>-0.7734550363138667</v>
      </c>
      <c r="J78" s="27">
        <f t="shared" si="43"/>
        <v>-0.7016759408222667</v>
      </c>
      <c r="K78" s="27">
        <f t="shared" si="43"/>
        <v>-0.5716342769095424</v>
      </c>
      <c r="L78" s="27">
        <f t="shared" si="43"/>
        <v>-0.3965390865822593</v>
      </c>
      <c r="M78" s="27">
        <f t="shared" si="43"/>
        <v>-0.19451456028578862</v>
      </c>
      <c r="N78" s="27">
        <f t="shared" si="43"/>
        <v>0.013635875822032885</v>
      </c>
      <c r="O78" s="27">
        <f t="shared" si="43"/>
        <v>0.20646107166725516</v>
      </c>
      <c r="P78" s="27">
        <f t="shared" si="43"/>
        <v>0.363193567720023</v>
      </c>
      <c r="Q78" s="27">
        <f t="shared" si="43"/>
        <v>0.4656606682101769</v>
      </c>
      <c r="R78" s="27">
        <f t="shared" si="43"/>
        <v>0.5031787188948689</v>
      </c>
      <c r="S78" s="27">
        <f t="shared" si="43"/>
        <v>0.4788748955031888</v>
      </c>
      <c r="T78" s="27">
        <f t="shared" si="43"/>
        <v>0.4113460991324419</v>
      </c>
      <c r="U78" s="27">
        <f t="shared" si="43"/>
        <v>0.3283534830482088</v>
      </c>
      <c r="V78" s="27">
        <f t="shared" si="43"/>
        <v>0.2556570585151643</v>
      </c>
      <c r="W78" s="27">
        <f t="shared" si="43"/>
        <v>0.20449333525400964</v>
      </c>
      <c r="X78" s="27">
        <f t="shared" si="43"/>
        <v>0.1611499928824338</v>
      </c>
      <c r="Y78" s="27">
        <f t="shared" si="43"/>
        <v>0.0963550785250766</v>
      </c>
      <c r="Z78" s="28">
        <f t="shared" si="43"/>
        <v>-0.008292266134340079</v>
      </c>
    </row>
    <row r="79" spans="1:26" ht="15.75">
      <c r="A79" s="132" t="s">
        <v>23</v>
      </c>
      <c r="B79" s="33">
        <f>B24*B76</f>
        <v>0.49992384757819563</v>
      </c>
      <c r="C79" s="27">
        <f aca="true" t="shared" si="44" ref="C79:Z79">C24*C76</f>
        <v>0.48063084796915945</v>
      </c>
      <c r="D79" s="27">
        <f t="shared" si="44"/>
        <v>0.4922372871658847</v>
      </c>
      <c r="E79" s="27">
        <f t="shared" si="44"/>
        <v>0.44660842694119063</v>
      </c>
      <c r="F79" s="27">
        <f t="shared" si="44"/>
        <v>0.33946726963580814</v>
      </c>
      <c r="G79" s="27">
        <f t="shared" si="44"/>
        <v>0.18045846510745783</v>
      </c>
      <c r="H79" s="27">
        <f t="shared" si="44"/>
        <v>-0.01362270158165935</v>
      </c>
      <c r="I79" s="27">
        <f t="shared" si="44"/>
        <v>-0.22178466275491243</v>
      </c>
      <c r="J79" s="27">
        <f t="shared" si="44"/>
        <v>-0.4216094401592133</v>
      </c>
      <c r="K79" s="27">
        <f t="shared" si="44"/>
        <v>-0.5919446221415842</v>
      </c>
      <c r="L79" s="27">
        <f t="shared" si="44"/>
        <v>-0.7153754490261058</v>
      </c>
      <c r="M79" s="27">
        <f t="shared" si="44"/>
        <v>-0.7801552896893502</v>
      </c>
      <c r="N79" s="27">
        <f t="shared" si="44"/>
        <v>-0.7811988026460497</v>
      </c>
      <c r="O79" s="27">
        <f t="shared" si="44"/>
        <v>-0.7200153234232586</v>
      </c>
      <c r="P79" s="27">
        <f t="shared" si="44"/>
        <v>-0.6044556028781174</v>
      </c>
      <c r="Q79" s="27">
        <f t="shared" si="44"/>
        <v>-0.4496832801597289</v>
      </c>
      <c r="R79" s="27">
        <f t="shared" si="44"/>
        <v>-0.27891651838183396</v>
      </c>
      <c r="S79" s="27">
        <f t="shared" si="44"/>
        <v>-0.11939692130754684</v>
      </c>
      <c r="T79" s="27">
        <f t="shared" si="44"/>
        <v>0.007180072868325725</v>
      </c>
      <c r="U79" s="27">
        <f t="shared" si="44"/>
        <v>0.09415384616190699</v>
      </c>
      <c r="V79" s="27">
        <f t="shared" si="44"/>
        <v>0.15361425843818688</v>
      </c>
      <c r="W79" s="27">
        <f t="shared" si="44"/>
        <v>0.21175904762366463</v>
      </c>
      <c r="X79" s="27">
        <f t="shared" si="44"/>
        <v>0.29072228292156094</v>
      </c>
      <c r="Y79" s="27">
        <f t="shared" si="44"/>
        <v>0.38645911179772646</v>
      </c>
      <c r="Z79" s="28">
        <f t="shared" si="44"/>
        <v>0.47506360866839564</v>
      </c>
    </row>
    <row r="80" spans="1:26" ht="15.75">
      <c r="A80" s="132" t="s">
        <v>24</v>
      </c>
      <c r="B80" s="33">
        <f>-B77*B25-B24*B79</f>
        <v>-0.49992384757819563</v>
      </c>
      <c r="C80" s="27">
        <f aca="true" t="shared" si="45" ref="C80:Z80">-C77*C25-C24*C79</f>
        <v>-0.5588165023053713</v>
      </c>
      <c r="D80" s="27">
        <f t="shared" si="45"/>
        <v>-0.7204757457172432</v>
      </c>
      <c r="E80" s="27">
        <f t="shared" si="45"/>
        <v>-0.7766718031166762</v>
      </c>
      <c r="F80" s="27">
        <f t="shared" si="45"/>
        <v>-0.689340829028626</v>
      </c>
      <c r="G80" s="27">
        <f t="shared" si="45"/>
        <v>-0.460677929028409</v>
      </c>
      <c r="H80" s="27">
        <f t="shared" si="45"/>
        <v>-0.122194007194605</v>
      </c>
      <c r="I80" s="27">
        <f t="shared" si="45"/>
        <v>0.27433935243012364</v>
      </c>
      <c r="J80" s="27">
        <f t="shared" si="45"/>
        <v>0.6672011888857591</v>
      </c>
      <c r="K80" s="27">
        <f t="shared" si="45"/>
        <v>0.9959367273525962</v>
      </c>
      <c r="L80" s="27">
        <f t="shared" si="45"/>
        <v>1.212324103246943</v>
      </c>
      <c r="M80" s="27">
        <f t="shared" si="45"/>
        <v>1.2883128541207802</v>
      </c>
      <c r="N80" s="27">
        <f t="shared" si="45"/>
        <v>1.2173657875992467</v>
      </c>
      <c r="O80" s="27">
        <f t="shared" si="45"/>
        <v>1.0094606828407435</v>
      </c>
      <c r="P80" s="27">
        <f t="shared" si="45"/>
        <v>0.6920329488876061</v>
      </c>
      <c r="Q80" s="27">
        <f t="shared" si="45"/>
        <v>0.325950600574018</v>
      </c>
      <c r="R80" s="27">
        <f t="shared" si="45"/>
        <v>0.006578900879168237</v>
      </c>
      <c r="S80" s="27">
        <f t="shared" si="45"/>
        <v>-0.18259214091392906</v>
      </c>
      <c r="T80" s="27">
        <f t="shared" si="45"/>
        <v>-0.2253227862156264</v>
      </c>
      <c r="U80" s="27">
        <f t="shared" si="45"/>
        <v>-0.1730084687688059</v>
      </c>
      <c r="V80" s="27">
        <f t="shared" si="45"/>
        <v>-0.09920808428722906</v>
      </c>
      <c r="W80" s="27">
        <f t="shared" si="45"/>
        <v>-0.06528165634726599</v>
      </c>
      <c r="X80" s="27">
        <f t="shared" si="45"/>
        <v>-0.11215256256983497</v>
      </c>
      <c r="Y80" s="27">
        <f t="shared" si="45"/>
        <v>-0.25127942892524435</v>
      </c>
      <c r="Z80" s="28">
        <f t="shared" si="45"/>
        <v>-0.4563364966231957</v>
      </c>
    </row>
    <row r="81" spans="1:26" ht="15.75">
      <c r="A81" s="132" t="s">
        <v>25</v>
      </c>
      <c r="B81" s="33">
        <f>B25*B76+B24*B78</f>
        <v>-0.008726203218641756</v>
      </c>
      <c r="C81" s="27">
        <f aca="true" t="shared" si="46" ref="C81:Z81">C25*C76+C24*C78</f>
        <v>0.134847102324758</v>
      </c>
      <c r="D81" s="27">
        <f t="shared" si="46"/>
        <v>-0.08151222288978044</v>
      </c>
      <c r="E81" s="27">
        <f t="shared" si="46"/>
        <v>-0.39920737065931977</v>
      </c>
      <c r="F81" s="27">
        <f t="shared" si="46"/>
        <v>-0.739043099568252</v>
      </c>
      <c r="G81" s="27">
        <f t="shared" si="46"/>
        <v>-1.0320519471408403</v>
      </c>
      <c r="H81" s="27">
        <f t="shared" si="46"/>
        <v>-1.2208755139633112</v>
      </c>
      <c r="I81" s="27">
        <f t="shared" si="46"/>
        <v>-1.2683581288180619</v>
      </c>
      <c r="J81" s="27">
        <f t="shared" si="46"/>
        <v>-1.1626356665759825</v>
      </c>
      <c r="K81" s="27">
        <f t="shared" si="46"/>
        <v>-0.918309582039915</v>
      </c>
      <c r="L81" s="27">
        <f t="shared" si="46"/>
        <v>-0.5727774301026082</v>
      </c>
      <c r="M81" s="27">
        <f t="shared" si="46"/>
        <v>-0.17737924804492064</v>
      </c>
      <c r="N81" s="27">
        <f t="shared" si="46"/>
        <v>0.21398973546598998</v>
      </c>
      <c r="O81" s="27">
        <f t="shared" si="46"/>
        <v>0.550508082390614</v>
      </c>
      <c r="P81" s="27">
        <f t="shared" si="46"/>
        <v>0.7792904869083245</v>
      </c>
      <c r="Q81" s="27">
        <f t="shared" si="46"/>
        <v>0.8503429219591003</v>
      </c>
      <c r="R81" s="27">
        <f t="shared" si="46"/>
        <v>0.7532153402621509</v>
      </c>
      <c r="S81" s="27">
        <f t="shared" si="46"/>
        <v>0.547592453707445</v>
      </c>
      <c r="T81" s="27">
        <f t="shared" si="46"/>
        <v>0.3346328747987887</v>
      </c>
      <c r="U81" s="27">
        <f t="shared" si="46"/>
        <v>0.19315688648897686</v>
      </c>
      <c r="V81" s="27">
        <f t="shared" si="46"/>
        <v>0.1479522178197797</v>
      </c>
      <c r="W81" s="27">
        <f t="shared" si="46"/>
        <v>0.18190113091341517</v>
      </c>
      <c r="X81" s="27">
        <f t="shared" si="46"/>
        <v>0.25347411731240677</v>
      </c>
      <c r="Y81" s="27">
        <f t="shared" si="46"/>
        <v>0.30362913753138565</v>
      </c>
      <c r="Z81" s="28">
        <f t="shared" si="46"/>
        <v>0.27266190849854577</v>
      </c>
    </row>
    <row r="82" spans="1:26" ht="15.75">
      <c r="A82" s="132" t="s">
        <v>67</v>
      </c>
      <c r="B82" s="33">
        <f>0.5*$J$2*(B78^2+B79^2)+0.5*$L$2*B24^2</f>
        <v>1.1875</v>
      </c>
      <c r="C82" s="27">
        <f>0.5*$J$2*(C78^2+C79^2)+0.5*$L$2*C24^2</f>
        <v>1.1875</v>
      </c>
      <c r="D82" s="27">
        <f aca="true" t="shared" si="47" ref="D82:Z82">0.5*$J$2*(D78^2+D79^2)+0.5*$L$2*D24^2</f>
        <v>1.5664316027743834</v>
      </c>
      <c r="E82" s="27">
        <f t="shared" si="47"/>
        <v>1.963382383665902</v>
      </c>
      <c r="F82" s="27">
        <f t="shared" si="47"/>
        <v>2.3288792215174183</v>
      </c>
      <c r="G82" s="27">
        <f t="shared" si="47"/>
        <v>2.643003719710517</v>
      </c>
      <c r="H82" s="27">
        <f t="shared" si="47"/>
        <v>2.8940728494244103</v>
      </c>
      <c r="I82" s="27">
        <f t="shared" si="47"/>
        <v>3.0752503667048265</v>
      </c>
      <c r="J82" s="27">
        <f>0.5*$J$2*(J78^2+J79^2)+0.5*$L$2*J24^2</f>
        <v>3.182992318310847</v>
      </c>
      <c r="K82" s="27">
        <f t="shared" si="47"/>
        <v>3.2165298655461316</v>
      </c>
      <c r="L82" s="27">
        <f t="shared" si="47"/>
        <v>3.1777750812197763</v>
      </c>
      <c r="M82" s="27">
        <f t="shared" si="47"/>
        <v>3.0707714034188758</v>
      </c>
      <c r="N82" s="27">
        <f t="shared" si="47"/>
        <v>2.899673155234014</v>
      </c>
      <c r="O82" s="27">
        <f t="shared" si="47"/>
        <v>2.6649791403718823</v>
      </c>
      <c r="P82" s="27">
        <f t="shared" si="47"/>
        <v>2.362061681548749</v>
      </c>
      <c r="Q82" s="27">
        <f t="shared" si="47"/>
        <v>1.9905108242725182</v>
      </c>
      <c r="R82" s="27">
        <f t="shared" si="47"/>
        <v>1.5721704250308957</v>
      </c>
      <c r="S82" s="27">
        <f t="shared" si="47"/>
        <v>1.1569897542143246</v>
      </c>
      <c r="T82" s="27">
        <f t="shared" si="47"/>
        <v>0.8039715419098881</v>
      </c>
      <c r="U82" s="27">
        <f t="shared" si="47"/>
        <v>0.5542345437406094</v>
      </c>
      <c r="V82" s="27">
        <f t="shared" si="47"/>
        <v>0.42254989182966585</v>
      </c>
      <c r="W82" s="27">
        <f t="shared" si="47"/>
        <v>0.41163223746550365</v>
      </c>
      <c r="X82" s="27">
        <f t="shared" si="47"/>
        <v>0.5248216384673797</v>
      </c>
      <c r="Y82" s="27">
        <f t="shared" si="47"/>
        <v>0.7535159946830412</v>
      </c>
      <c r="Z82" s="28">
        <f t="shared" si="47"/>
        <v>1.072332421303736</v>
      </c>
    </row>
    <row r="83" spans="1:26" ht="15.75">
      <c r="A83" s="132" t="s">
        <v>68</v>
      </c>
      <c r="B83" s="33">
        <f>$K$2*(B77-$I$2)</f>
        <v>0</v>
      </c>
      <c r="C83" s="27">
        <f>$K$2*(C77-$I$2)</f>
        <v>1.8995957650612583</v>
      </c>
      <c r="D83" s="27">
        <f aca="true" t="shared" si="48" ref="D83:Z83">$K$2*(D77-$I$2)</f>
        <v>3.66098655578841</v>
      </c>
      <c r="E83" s="27">
        <f t="shared" si="48"/>
        <v>5.164136500629311</v>
      </c>
      <c r="F83" s="27">
        <f t="shared" si="48"/>
        <v>6.30660841491579</v>
      </c>
      <c r="G83" s="27">
        <f t="shared" si="48"/>
        <v>7.0105447257133315</v>
      </c>
      <c r="H83" s="27">
        <f t="shared" si="48"/>
        <v>7.227973336750836</v>
      </c>
      <c r="I83" s="27">
        <f t="shared" si="48"/>
        <v>6.944076847503868</v>
      </c>
      <c r="J83" s="27">
        <f t="shared" si="48"/>
        <v>6.178202334553476</v>
      </c>
      <c r="K83" s="27">
        <f t="shared" si="48"/>
        <v>4.982542880289757</v>
      </c>
      <c r="L83" s="27">
        <f t="shared" si="48"/>
        <v>3.438580700600111</v>
      </c>
      <c r="M83" s="27">
        <f t="shared" si="48"/>
        <v>1.6515342665122406</v>
      </c>
      <c r="N83" s="27">
        <f t="shared" si="48"/>
        <v>-0.2568121607246292</v>
      </c>
      <c r="O83" s="27">
        <f t="shared" si="48"/>
        <v>-2.156407925785885</v>
      </c>
      <c r="P83" s="27">
        <f t="shared" si="48"/>
        <v>-3.9177987165130386</v>
      </c>
      <c r="Q83" s="27">
        <f t="shared" si="48"/>
        <v>-5.420948661353941</v>
      </c>
      <c r="R83" s="27">
        <f t="shared" si="48"/>
        <v>-6.56342057564042</v>
      </c>
      <c r="S83" s="27">
        <f t="shared" si="48"/>
        <v>-7.267356886437958</v>
      </c>
      <c r="T83" s="27">
        <f t="shared" si="48"/>
        <v>-7.484785497475461</v>
      </c>
      <c r="U83" s="27">
        <f t="shared" si="48"/>
        <v>-7.2008890082284935</v>
      </c>
      <c r="V83" s="27">
        <f t="shared" si="48"/>
        <v>-6.4350144952781045</v>
      </c>
      <c r="W83" s="27">
        <f t="shared" si="48"/>
        <v>-5.239355041014387</v>
      </c>
      <c r="X83" s="27">
        <f t="shared" si="48"/>
        <v>-3.6953928613247355</v>
      </c>
      <c r="Y83" s="27">
        <f t="shared" si="48"/>
        <v>-1.9083464272368682</v>
      </c>
      <c r="Z83" s="28">
        <f t="shared" si="48"/>
        <v>-1.812378372378909E-15</v>
      </c>
    </row>
    <row r="84" spans="1:26" ht="15.75">
      <c r="A84" s="132" t="s">
        <v>69</v>
      </c>
      <c r="B84" s="33">
        <f>$J$2*B80</f>
        <v>-0.7498857713672935</v>
      </c>
      <c r="C84" s="27">
        <f aca="true" t="shared" si="49" ref="C84:Z84">$J$2*C80</f>
        <v>-0.8382247534580569</v>
      </c>
      <c r="D84" s="27">
        <f t="shared" si="49"/>
        <v>-1.0807136185758648</v>
      </c>
      <c r="E84" s="27">
        <f t="shared" si="49"/>
        <v>-1.1650077046750142</v>
      </c>
      <c r="F84" s="27">
        <f t="shared" si="49"/>
        <v>-1.0340112435429392</v>
      </c>
      <c r="G84" s="27">
        <f t="shared" si="49"/>
        <v>-0.6910168935426135</v>
      </c>
      <c r="H84" s="27">
        <f t="shared" si="49"/>
        <v>-0.18329101079190752</v>
      </c>
      <c r="I84" s="27">
        <f t="shared" si="49"/>
        <v>0.41150902864518546</v>
      </c>
      <c r="J84" s="27">
        <f t="shared" si="49"/>
        <v>1.0008017833286387</v>
      </c>
      <c r="K84" s="27">
        <f t="shared" si="49"/>
        <v>1.4939050910288942</v>
      </c>
      <c r="L84" s="27">
        <f t="shared" si="49"/>
        <v>1.8184861548704143</v>
      </c>
      <c r="M84" s="27">
        <f t="shared" si="49"/>
        <v>1.9324692811811703</v>
      </c>
      <c r="N84" s="27">
        <f t="shared" si="49"/>
        <v>1.82604868139887</v>
      </c>
      <c r="O84" s="27">
        <f t="shared" si="49"/>
        <v>1.5141910242611152</v>
      </c>
      <c r="P84" s="27">
        <f t="shared" si="49"/>
        <v>1.0380494233314093</v>
      </c>
      <c r="Q84" s="27">
        <f t="shared" si="49"/>
        <v>0.48892590086102694</v>
      </c>
      <c r="R84" s="27">
        <f t="shared" si="49"/>
        <v>0.009868351318752355</v>
      </c>
      <c r="S84" s="27">
        <f t="shared" si="49"/>
        <v>-0.2738882113708936</v>
      </c>
      <c r="T84" s="27">
        <f t="shared" si="49"/>
        <v>-0.3379841793234396</v>
      </c>
      <c r="U84" s="27">
        <f t="shared" si="49"/>
        <v>-0.25951270315320885</v>
      </c>
      <c r="V84" s="27">
        <f t="shared" si="49"/>
        <v>-0.1488121264308436</v>
      </c>
      <c r="W84" s="27">
        <f t="shared" si="49"/>
        <v>-0.09792248452089898</v>
      </c>
      <c r="X84" s="27">
        <f t="shared" si="49"/>
        <v>-0.16822884385475245</v>
      </c>
      <c r="Y84" s="27">
        <f t="shared" si="49"/>
        <v>-0.37691914338786653</v>
      </c>
      <c r="Z84" s="28">
        <f t="shared" si="49"/>
        <v>-0.6845047449347935</v>
      </c>
    </row>
    <row r="85" spans="1:26" ht="15.75">
      <c r="A85" s="132" t="s">
        <v>70</v>
      </c>
      <c r="B85" s="33">
        <f>$J$2*B81</f>
        <v>-0.013089304827962634</v>
      </c>
      <c r="C85" s="27">
        <f aca="true" t="shared" si="50" ref="C85:Z85">$J$2*C81</f>
        <v>0.202270653487137</v>
      </c>
      <c r="D85" s="27">
        <f t="shared" si="50"/>
        <v>-0.12226833433467066</v>
      </c>
      <c r="E85" s="27">
        <f t="shared" si="50"/>
        <v>-0.5988110559889797</v>
      </c>
      <c r="F85" s="27">
        <f t="shared" si="50"/>
        <v>-1.108564649352378</v>
      </c>
      <c r="G85" s="27">
        <f t="shared" si="50"/>
        <v>-1.5480779207112603</v>
      </c>
      <c r="H85" s="27">
        <f t="shared" si="50"/>
        <v>-1.8313132709449667</v>
      </c>
      <c r="I85" s="27">
        <f t="shared" si="50"/>
        <v>-1.9025371932270927</v>
      </c>
      <c r="J85" s="27">
        <f t="shared" si="50"/>
        <v>-1.7439534998639736</v>
      </c>
      <c r="K85" s="27">
        <f t="shared" si="50"/>
        <v>-1.3774643730598726</v>
      </c>
      <c r="L85" s="27">
        <f t="shared" si="50"/>
        <v>-0.8591661451539123</v>
      </c>
      <c r="M85" s="27">
        <f t="shared" si="50"/>
        <v>-0.26606887206738095</v>
      </c>
      <c r="N85" s="27">
        <f t="shared" si="50"/>
        <v>0.320984603198985</v>
      </c>
      <c r="O85" s="27">
        <f t="shared" si="50"/>
        <v>0.8257621235859209</v>
      </c>
      <c r="P85" s="27">
        <f t="shared" si="50"/>
        <v>1.1689357303624868</v>
      </c>
      <c r="Q85" s="27">
        <f t="shared" si="50"/>
        <v>1.2755143829386504</v>
      </c>
      <c r="R85" s="27">
        <f t="shared" si="50"/>
        <v>1.1298230103932263</v>
      </c>
      <c r="S85" s="27">
        <f t="shared" si="50"/>
        <v>0.8213886805611675</v>
      </c>
      <c r="T85" s="27">
        <f t="shared" si="50"/>
        <v>0.5019493121981831</v>
      </c>
      <c r="U85" s="27">
        <f t="shared" si="50"/>
        <v>0.2897353297334653</v>
      </c>
      <c r="V85" s="27">
        <f t="shared" si="50"/>
        <v>0.22192832672966956</v>
      </c>
      <c r="W85" s="27">
        <f t="shared" si="50"/>
        <v>0.27285169637012274</v>
      </c>
      <c r="X85" s="27">
        <f t="shared" si="50"/>
        <v>0.38021117596861015</v>
      </c>
      <c r="Y85" s="27">
        <f t="shared" si="50"/>
        <v>0.4554437062970785</v>
      </c>
      <c r="Z85" s="28">
        <f t="shared" si="50"/>
        <v>0.40899286274781865</v>
      </c>
    </row>
    <row r="86" spans="1:26" ht="15.75">
      <c r="A86" s="132" t="s">
        <v>71</v>
      </c>
      <c r="B86" s="33">
        <f>$L$2*B25</f>
        <v>0</v>
      </c>
      <c r="C86" s="27">
        <f aca="true" t="shared" si="51" ref="C86:Z86">$L$2*C25</f>
        <v>1.1346162294216857</v>
      </c>
      <c r="D86" s="27">
        <f t="shared" si="51"/>
        <v>1.2048113160997298</v>
      </c>
      <c r="E86" s="27">
        <f t="shared" si="51"/>
        <v>1.1255127928207438</v>
      </c>
      <c r="F86" s="27">
        <f t="shared" si="51"/>
        <v>0.9784634782275397</v>
      </c>
      <c r="G86" s="27">
        <f t="shared" si="51"/>
        <v>0.7892714492652076</v>
      </c>
      <c r="H86" s="27">
        <f t="shared" si="51"/>
        <v>0.5739304485378574</v>
      </c>
      <c r="I86" s="27">
        <f t="shared" si="51"/>
        <v>0.34357987870722617</v>
      </c>
      <c r="J86" s="27">
        <f t="shared" si="51"/>
        <v>0.1075943737304634</v>
      </c>
      <c r="K86" s="27">
        <f t="shared" si="51"/>
        <v>-0.12503661083743234</v>
      </c>
      <c r="L86" s="27">
        <f t="shared" si="51"/>
        <v>-0.3471358397529295</v>
      </c>
      <c r="M86" s="27">
        <f t="shared" si="51"/>
        <v>-0.5582430459451228</v>
      </c>
      <c r="N86" s="27">
        <f t="shared" si="51"/>
        <v>-0.770844725139079</v>
      </c>
      <c r="O86" s="27">
        <f t="shared" si="51"/>
        <v>-1.0037490379484333</v>
      </c>
      <c r="P86" s="27">
        <f t="shared" si="51"/>
        <v>-1.24623602142657</v>
      </c>
      <c r="Q86" s="27">
        <f t="shared" si="51"/>
        <v>-1.4249143542490932</v>
      </c>
      <c r="R86" s="27">
        <f t="shared" si="51"/>
        <v>-1.4376480268638856</v>
      </c>
      <c r="S86" s="27">
        <f t="shared" si="51"/>
        <v>-1.2385719135893927</v>
      </c>
      <c r="T86" s="27">
        <f t="shared" si="51"/>
        <v>-0.8777932781025813</v>
      </c>
      <c r="U86" s="27">
        <f t="shared" si="51"/>
        <v>-0.45226064260291243</v>
      </c>
      <c r="V86" s="27">
        <f t="shared" si="51"/>
        <v>-0.03534760148695759</v>
      </c>
      <c r="W86" s="27">
        <f t="shared" si="51"/>
        <v>0.34200109669429923</v>
      </c>
      <c r="X86" s="27">
        <f t="shared" si="51"/>
        <v>0.6692832679282356</v>
      </c>
      <c r="Y86" s="27">
        <f t="shared" si="51"/>
        <v>0.9352802349950927</v>
      </c>
      <c r="Z86" s="28">
        <f t="shared" si="51"/>
        <v>1.122338203121791</v>
      </c>
    </row>
    <row r="87" spans="1:26" ht="15.75">
      <c r="A87" s="132" t="s">
        <v>72</v>
      </c>
      <c r="B87" s="33">
        <f>$K$2*B79</f>
        <v>7.356379417113149</v>
      </c>
      <c r="C87" s="27">
        <f aca="true" t="shared" si="52" ref="C87:Z87">$K$2*C79</f>
        <v>7.072482927866181</v>
      </c>
      <c r="D87" s="27">
        <f t="shared" si="52"/>
        <v>7.243271680645994</v>
      </c>
      <c r="E87" s="27">
        <f t="shared" si="52"/>
        <v>6.57184300243962</v>
      </c>
      <c r="F87" s="27">
        <f t="shared" si="52"/>
        <v>4.995260872690917</v>
      </c>
      <c r="G87" s="27">
        <f t="shared" si="52"/>
        <v>2.655446314056242</v>
      </c>
      <c r="H87" s="27">
        <f t="shared" si="52"/>
        <v>-0.20045805377411732</v>
      </c>
      <c r="I87" s="27">
        <f t="shared" si="52"/>
        <v>-3.2635613124385365</v>
      </c>
      <c r="J87" s="27">
        <f t="shared" si="52"/>
        <v>-6.203982911942824</v>
      </c>
      <c r="K87" s="27">
        <f t="shared" si="52"/>
        <v>-8.710465114813411</v>
      </c>
      <c r="L87" s="27">
        <f t="shared" si="52"/>
        <v>-10.526749732419148</v>
      </c>
      <c r="M87" s="27">
        <f t="shared" si="52"/>
        <v>-11.479985087778788</v>
      </c>
      <c r="N87" s="27">
        <f t="shared" si="52"/>
        <v>-11.495340380936621</v>
      </c>
      <c r="O87" s="27">
        <f t="shared" si="52"/>
        <v>-10.59502548417325</v>
      </c>
      <c r="P87" s="27">
        <f t="shared" si="52"/>
        <v>-8.894564196351498</v>
      </c>
      <c r="Q87" s="27">
        <f t="shared" si="52"/>
        <v>-6.617089467550411</v>
      </c>
      <c r="R87" s="27">
        <f t="shared" si="52"/>
        <v>-4.104256567988687</v>
      </c>
      <c r="S87" s="27">
        <f t="shared" si="52"/>
        <v>-1.7569256970405518</v>
      </c>
      <c r="T87" s="27">
        <f t="shared" si="52"/>
        <v>0.10565477225741304</v>
      </c>
      <c r="U87" s="27">
        <f t="shared" si="52"/>
        <v>1.3854738462724614</v>
      </c>
      <c r="V87" s="27">
        <f t="shared" si="52"/>
        <v>2.26043381291792</v>
      </c>
      <c r="W87" s="27">
        <f t="shared" si="52"/>
        <v>3.116034385782225</v>
      </c>
      <c r="X87" s="27">
        <f t="shared" si="52"/>
        <v>4.277978393190769</v>
      </c>
      <c r="Y87" s="27">
        <f t="shared" si="52"/>
        <v>5.686745830103545</v>
      </c>
      <c r="Z87" s="28">
        <f t="shared" si="52"/>
        <v>6.990561001555442</v>
      </c>
    </row>
    <row r="88" spans="1:26" ht="16.5" thickBot="1">
      <c r="A88" s="133" t="s">
        <v>66</v>
      </c>
      <c r="B88" s="34">
        <f>B84*B78+B85*B79+B86*B24</f>
        <v>0</v>
      </c>
      <c r="C88" s="29">
        <f aca="true" t="shared" si="53" ref="C88:Z88">C84*C78+C85*C79+C86*C24</f>
        <v>1.3473567724382518</v>
      </c>
      <c r="D88" s="29">
        <f>D84*D78+D85*D79+D86*D24</f>
        <v>1.6432043098034073</v>
      </c>
      <c r="E88" s="29">
        <f t="shared" si="53"/>
        <v>1.7185797483917749</v>
      </c>
      <c r="F88" s="29">
        <f t="shared" si="53"/>
        <v>1.6271774318458876</v>
      </c>
      <c r="G88" s="29">
        <f t="shared" si="53"/>
        <v>1.3982733790771755</v>
      </c>
      <c r="H88" s="29">
        <f t="shared" si="53"/>
        <v>1.0639734832983738</v>
      </c>
      <c r="I88" s="29">
        <f t="shared" si="53"/>
        <v>0.6565756475339163</v>
      </c>
      <c r="J88" s="29">
        <f t="shared" si="53"/>
        <v>0.2091819303682971</v>
      </c>
      <c r="K88" s="29">
        <f t="shared" si="53"/>
        <v>-0.24436994816331667</v>
      </c>
      <c r="L88" s="29">
        <f t="shared" si="53"/>
        <v>-0.6743383222695065</v>
      </c>
      <c r="M88" s="29">
        <f t="shared" si="53"/>
        <v>-1.0660163720214526</v>
      </c>
      <c r="N88" s="29">
        <f t="shared" si="53"/>
        <v>-1.4304024259413761</v>
      </c>
      <c r="O88" s="29">
        <f t="shared" si="53"/>
        <v>-1.7856192457411986</v>
      </c>
      <c r="P88" s="29">
        <f t="shared" si="53"/>
        <v>-2.087193561253022</v>
      </c>
      <c r="Q88" s="29">
        <f t="shared" si="53"/>
        <v>-2.1907248894335245</v>
      </c>
      <c r="R88" s="29">
        <f t="shared" si="53"/>
        <v>-1.9643514551251176</v>
      </c>
      <c r="S88" s="29">
        <f t="shared" si="53"/>
        <v>-1.451786632285868</v>
      </c>
      <c r="T88" s="29">
        <f t="shared" si="53"/>
        <v>-0.8576881269374552</v>
      </c>
      <c r="U88" s="29">
        <f t="shared" si="53"/>
        <v>-0.36690396064404684</v>
      </c>
      <c r="V88" s="29">
        <f t="shared" si="53"/>
        <v>-0.02503892945870567</v>
      </c>
      <c r="W88" s="29">
        <f t="shared" si="53"/>
        <v>0.23911069276207134</v>
      </c>
      <c r="X88" s="29">
        <f t="shared" si="53"/>
        <v>0.5283632991737909</v>
      </c>
      <c r="Y88" s="29">
        <f t="shared" si="53"/>
        <v>0.8847178781543766</v>
      </c>
      <c r="Z88" s="30">
        <f t="shared" si="53"/>
        <v>1.266500231808158</v>
      </c>
    </row>
    <row r="89" spans="2:26" ht="16.5" thickBot="1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6.5" thickBot="1">
      <c r="A90" s="130" t="s">
        <v>134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>
      <c r="A91" s="131" t="s">
        <v>20</v>
      </c>
      <c r="B91" s="32">
        <f aca="true" t="shared" si="54" ref="B91:Z91">B31+($H$3-$E$3)*COS(B44)-($I$3-$F$3)*SIN(B44)</f>
        <v>1.4999238475781955</v>
      </c>
      <c r="C91" s="25">
        <f t="shared" si="54"/>
        <v>1.480630847969159</v>
      </c>
      <c r="D91" s="25">
        <f t="shared" si="54"/>
        <v>1.428583650351056</v>
      </c>
      <c r="E91" s="25">
        <f t="shared" si="54"/>
        <v>1.3473291852294984</v>
      </c>
      <c r="F91" s="25">
        <f t="shared" si="54"/>
        <v>1.2424048101231684</v>
      </c>
      <c r="G91" s="25">
        <f t="shared" si="54"/>
        <v>1.120960947799834</v>
      </c>
      <c r="H91" s="25">
        <f t="shared" si="54"/>
        <v>0.9912737967813581</v>
      </c>
      <c r="I91" s="25">
        <f t="shared" si="54"/>
        <v>0.8621813220915</v>
      </c>
      <c r="J91" s="25">
        <f t="shared" si="54"/>
        <v>0.7424809625449721</v>
      </c>
      <c r="K91" s="25">
        <f t="shared" si="54"/>
        <v>0.640330099830674</v>
      </c>
      <c r="L91" s="25">
        <f t="shared" si="54"/>
        <v>0.5626901464303016</v>
      </c>
      <c r="M91" s="25">
        <f t="shared" si="54"/>
        <v>0.5148521368620014</v>
      </c>
      <c r="N91" s="25">
        <f t="shared" si="54"/>
        <v>0.500076152421804</v>
      </c>
      <c r="O91" s="25">
        <f t="shared" si="54"/>
        <v>0.5193691520308403</v>
      </c>
      <c r="P91" s="25">
        <f t="shared" si="54"/>
        <v>0.5714163496489433</v>
      </c>
      <c r="Q91" s="25">
        <f t="shared" si="54"/>
        <v>0.6526708147705015</v>
      </c>
      <c r="R91" s="25">
        <f t="shared" si="54"/>
        <v>0.7575951898768314</v>
      </c>
      <c r="S91" s="25">
        <f t="shared" si="54"/>
        <v>0.8790390522001661</v>
      </c>
      <c r="T91" s="25">
        <f t="shared" si="54"/>
        <v>1.0087262032186415</v>
      </c>
      <c r="U91" s="25">
        <f t="shared" si="54"/>
        <v>1.1378186779085</v>
      </c>
      <c r="V91" s="25">
        <f t="shared" si="54"/>
        <v>1.257519037455027</v>
      </c>
      <c r="W91" s="25">
        <f t="shared" si="54"/>
        <v>1.359669900169325</v>
      </c>
      <c r="X91" s="25">
        <f t="shared" si="54"/>
        <v>1.4373098535696975</v>
      </c>
      <c r="Y91" s="25">
        <f t="shared" si="54"/>
        <v>1.485147863137998</v>
      </c>
      <c r="Z91" s="26">
        <f t="shared" si="54"/>
        <v>1.4999238475781955</v>
      </c>
    </row>
    <row r="92" spans="1:26" ht="15.75">
      <c r="A92" s="132" t="s">
        <v>21</v>
      </c>
      <c r="B92" s="33">
        <f aca="true" t="shared" si="55" ref="B92:Z92">B32+($H$3-$E$3)*SIN(B44)+($I$3-$F$3)*COS(B44)</f>
        <v>-1.9706179750580506</v>
      </c>
      <c r="C92" s="27">
        <f t="shared" si="55"/>
        <v>-1.7074803118766666</v>
      </c>
      <c r="D92" s="27">
        <f t="shared" si="55"/>
        <v>-1.453713650258428</v>
      </c>
      <c r="E92" s="27">
        <f t="shared" si="55"/>
        <v>-1.2239874514506117</v>
      </c>
      <c r="F92" s="27">
        <f t="shared" si="55"/>
        <v>-1.0302554930444607</v>
      </c>
      <c r="G92" s="27">
        <f t="shared" si="55"/>
        <v>-0.881673588995461</v>
      </c>
      <c r="H92" s="27">
        <f t="shared" si="55"/>
        <v>-0.784801134989221</v>
      </c>
      <c r="I92" s="27">
        <f t="shared" si="55"/>
        <v>-0.7439856926251569</v>
      </c>
      <c r="J92" s="27">
        <f t="shared" si="55"/>
        <v>-0.7618280267890398</v>
      </c>
      <c r="K92" s="27">
        <f t="shared" si="55"/>
        <v>-0.8395507947376967</v>
      </c>
      <c r="L92" s="27">
        <f t="shared" si="55"/>
        <v>-0.9769155197274726</v>
      </c>
      <c r="M92" s="27">
        <f t="shared" si="55"/>
        <v>-1.1711725190155189</v>
      </c>
      <c r="N92" s="27">
        <f t="shared" si="55"/>
        <v>-1.4148530116562101</v>
      </c>
      <c r="O92" s="27">
        <f t="shared" si="55"/>
        <v>-1.6934639644127496</v>
      </c>
      <c r="P92" s="27">
        <f t="shared" si="55"/>
        <v>-1.9852927310664803</v>
      </c>
      <c r="Q92" s="27">
        <f t="shared" si="55"/>
        <v>-2.2643977496171934</v>
      </c>
      <c r="R92" s="27">
        <f t="shared" si="55"/>
        <v>-2.5052423758714397</v>
      </c>
      <c r="S92" s="27">
        <f t="shared" si="55"/>
        <v>-2.6866717204881323</v>
      </c>
      <c r="T92" s="27">
        <f t="shared" si="55"/>
        <v>-2.7942490604631245</v>
      </c>
      <c r="U92" s="27">
        <f t="shared" si="55"/>
        <v>-2.821138941306021</v>
      </c>
      <c r="V92" s="27">
        <f t="shared" si="55"/>
        <v>-2.7679844087106966</v>
      </c>
      <c r="W92" s="27">
        <f t="shared" si="55"/>
        <v>-2.6420867679234172</v>
      </c>
      <c r="X92" s="27">
        <f t="shared" si="55"/>
        <v>-2.456073123462039</v>
      </c>
      <c r="Y92" s="27">
        <f t="shared" si="55"/>
        <v>-2.2262170543824102</v>
      </c>
      <c r="Z92" s="28">
        <f t="shared" si="55"/>
        <v>-1.9706179750580508</v>
      </c>
    </row>
    <row r="93" spans="1:26" ht="15.75">
      <c r="A93" s="132" t="s">
        <v>22</v>
      </c>
      <c r="B93" s="33">
        <f aca="true" t="shared" si="56" ref="B93:W93">B33-B42*(B92-B32)</f>
        <v>-0.008726203218641756</v>
      </c>
      <c r="C93" s="27">
        <f t="shared" si="56"/>
        <v>-0.13781867790849964</v>
      </c>
      <c r="D93" s="27">
        <f t="shared" si="56"/>
        <v>-0.2957660010749404</v>
      </c>
      <c r="E93" s="27">
        <f t="shared" si="56"/>
        <v>-0.46247656449192365</v>
      </c>
      <c r="F93" s="27">
        <f t="shared" si="56"/>
        <v>-0.6124151657745986</v>
      </c>
      <c r="G93" s="27">
        <f t="shared" si="56"/>
        <v>-0.7237793711481355</v>
      </c>
      <c r="H93" s="27">
        <f t="shared" si="56"/>
        <v>-0.7804440509205528</v>
      </c>
      <c r="I93" s="27">
        <f t="shared" si="56"/>
        <v>-0.7734550363138667</v>
      </c>
      <c r="J93" s="27">
        <f t="shared" si="56"/>
        <v>-0.7016759408222665</v>
      </c>
      <c r="K93" s="27">
        <f t="shared" si="56"/>
        <v>-0.5716342769095423</v>
      </c>
      <c r="L93" s="27">
        <f t="shared" si="56"/>
        <v>-0.3965390865822591</v>
      </c>
      <c r="M93" s="27">
        <f t="shared" si="56"/>
        <v>-0.19451456028578853</v>
      </c>
      <c r="N93" s="27">
        <f t="shared" si="56"/>
        <v>0.01363587582203304</v>
      </c>
      <c r="O93" s="27">
        <f t="shared" si="56"/>
        <v>0.2064610716672553</v>
      </c>
      <c r="P93" s="27">
        <f t="shared" si="56"/>
        <v>0.36319356772002326</v>
      </c>
      <c r="Q93" s="27">
        <f t="shared" si="56"/>
        <v>0.465660668210177</v>
      </c>
      <c r="R93" s="27">
        <f t="shared" si="56"/>
        <v>0.5031787188948691</v>
      </c>
      <c r="S93" s="27">
        <f t="shared" si="56"/>
        <v>0.47887489550318885</v>
      </c>
      <c r="T93" s="27">
        <f t="shared" si="56"/>
        <v>0.411346099132442</v>
      </c>
      <c r="U93" s="27">
        <f t="shared" si="56"/>
        <v>0.3283534830482088</v>
      </c>
      <c r="V93" s="27">
        <f t="shared" si="56"/>
        <v>0.25565705851516435</v>
      </c>
      <c r="W93" s="27">
        <f t="shared" si="56"/>
        <v>0.20449333525400962</v>
      </c>
      <c r="X93" s="27">
        <f>X33-X42*(X92-X32)</f>
        <v>0.16114999288243378</v>
      </c>
      <c r="Y93" s="27">
        <f>Y33-Y42*(Y92-Y32)</f>
        <v>0.09635507852507653</v>
      </c>
      <c r="Z93" s="28">
        <f>Z33-Z42*(Z92-Z32)</f>
        <v>-0.00829226613434017</v>
      </c>
    </row>
    <row r="94" spans="1:26" ht="15.75">
      <c r="A94" s="132" t="s">
        <v>23</v>
      </c>
      <c r="B94" s="33">
        <f aca="true" t="shared" si="57" ref="B94:Z94">B34+B42*(B91-B31)</f>
        <v>1.0020426708330306</v>
      </c>
      <c r="C94" s="27">
        <f t="shared" si="57"/>
        <v>0.9973557568432343</v>
      </c>
      <c r="D94" s="27">
        <f t="shared" si="57"/>
        <v>1.0703185771706976</v>
      </c>
      <c r="E94" s="27">
        <f t="shared" si="57"/>
        <v>1.0485406450149817</v>
      </c>
      <c r="F94" s="27">
        <f t="shared" si="57"/>
        <v>0.9225005134381532</v>
      </c>
      <c r="G94" s="27">
        <f t="shared" si="57"/>
        <v>0.7044595187285012</v>
      </c>
      <c r="H94" s="27">
        <f t="shared" si="57"/>
        <v>0.41388024072340157</v>
      </c>
      <c r="I94" s="27">
        <f t="shared" si="57"/>
        <v>0.07251508121176042</v>
      </c>
      <c r="J94" s="27">
        <f t="shared" si="57"/>
        <v>-0.2982075151062008</v>
      </c>
      <c r="K94" s="27">
        <f t="shared" si="57"/>
        <v>-0.6772869257399098</v>
      </c>
      <c r="L94" s="27">
        <f t="shared" si="57"/>
        <v>-1.0408352286258644</v>
      </c>
      <c r="M94" s="27">
        <f t="shared" si="57"/>
        <v>-1.355877754105426</v>
      </c>
      <c r="N94" s="27">
        <f t="shared" si="57"/>
        <v>-1.5770339059003116</v>
      </c>
      <c r="O94" s="27">
        <f t="shared" si="57"/>
        <v>-1.655637146091213</v>
      </c>
      <c r="P94" s="27">
        <f t="shared" si="57"/>
        <v>-1.5618108824108148</v>
      </c>
      <c r="Q94" s="27">
        <f t="shared" si="57"/>
        <v>-1.3054343126558683</v>
      </c>
      <c r="R94" s="27">
        <f t="shared" si="57"/>
        <v>-0.9412152089204613</v>
      </c>
      <c r="S94" s="27">
        <f t="shared" si="57"/>
        <v>-0.5515458611419007</v>
      </c>
      <c r="T94" s="27">
        <f t="shared" si="57"/>
        <v>-0.21287809502812585</v>
      </c>
      <c r="U94" s="27">
        <f t="shared" si="57"/>
        <v>0.036093216431409475</v>
      </c>
      <c r="V94" s="27">
        <f t="shared" si="57"/>
        <v>0.20788855488200858</v>
      </c>
      <c r="W94" s="27">
        <f t="shared" si="57"/>
        <v>0.3562790440203894</v>
      </c>
      <c r="X94" s="27">
        <f t="shared" si="57"/>
        <v>0.5354448743029815</v>
      </c>
      <c r="Y94" s="27">
        <f t="shared" si="57"/>
        <v>0.7479175991386691</v>
      </c>
      <c r="Z94" s="28">
        <f t="shared" si="57"/>
        <v>0.952213041149628</v>
      </c>
    </row>
    <row r="95" spans="1:26" ht="15.75">
      <c r="A95" s="132" t="s">
        <v>24</v>
      </c>
      <c r="B95" s="33">
        <f aca="true" t="shared" si="58" ref="B95:Z95">B35-B43*(B92-B32)-(B42^2)*(B91-B31)</f>
        <v>-0.49992384757819575</v>
      </c>
      <c r="C95" s="27">
        <f t="shared" si="58"/>
        <v>-0.5588165023053713</v>
      </c>
      <c r="D95" s="27">
        <f t="shared" si="58"/>
        <v>-0.8884068081816983</v>
      </c>
      <c r="E95" s="27">
        <f t="shared" si="58"/>
        <v>-1.1049633639426888</v>
      </c>
      <c r="F95" s="27">
        <f t="shared" si="58"/>
        <v>-1.0700511366469203</v>
      </c>
      <c r="G95" s="27">
        <f t="shared" si="58"/>
        <v>-0.7255236714411943</v>
      </c>
      <c r="H95" s="27">
        <f t="shared" si="58"/>
        <v>-0.09832735798254544</v>
      </c>
      <c r="I95" s="27">
        <f t="shared" si="58"/>
        <v>0.7092301746442932</v>
      </c>
      <c r="J95" s="27">
        <f t="shared" si="58"/>
        <v>1.5468618058389512</v>
      </c>
      <c r="K95" s="27">
        <f t="shared" si="58"/>
        <v>2.254241704590817</v>
      </c>
      <c r="L95" s="27">
        <f t="shared" si="58"/>
        <v>2.7005429161916368</v>
      </c>
      <c r="M95" s="27">
        <f t="shared" si="58"/>
        <v>2.8140397918051354</v>
      </c>
      <c r="N95" s="27">
        <f t="shared" si="58"/>
        <v>2.5910170489885687</v>
      </c>
      <c r="O95" s="27">
        <f t="shared" si="58"/>
        <v>2.0839105920854406</v>
      </c>
      <c r="P95" s="27">
        <f t="shared" si="58"/>
        <v>1.3916883592847973</v>
      </c>
      <c r="Q95" s="27">
        <f t="shared" si="58"/>
        <v>0.6690864891925278</v>
      </c>
      <c r="R95" s="27">
        <f t="shared" si="58"/>
        <v>0.1032570110124403</v>
      </c>
      <c r="S95" s="27">
        <f t="shared" si="58"/>
        <v>-0.18563982533817475</v>
      </c>
      <c r="T95" s="27">
        <f t="shared" si="58"/>
        <v>-0.22322923707585862</v>
      </c>
      <c r="U95" s="27">
        <f t="shared" si="58"/>
        <v>-0.13224963407308665</v>
      </c>
      <c r="V95" s="27">
        <f t="shared" si="58"/>
        <v>-0.025262900061290238</v>
      </c>
      <c r="W95" s="27">
        <f t="shared" si="58"/>
        <v>0.037261291322292875</v>
      </c>
      <c r="X95" s="27">
        <f t="shared" si="58"/>
        <v>0.017417675756915392</v>
      </c>
      <c r="Y95" s="27">
        <f t="shared" si="58"/>
        <v>-0.12603555081123644</v>
      </c>
      <c r="Z95" s="28">
        <f t="shared" si="58"/>
        <v>-0.41143807104957875</v>
      </c>
    </row>
    <row r="96" spans="1:26" ht="15.75">
      <c r="A96" s="132" t="s">
        <v>25</v>
      </c>
      <c r="B96" s="33">
        <f aca="true" t="shared" si="59" ref="B96:Z96">B36+B43*(B91-B31)-(B42^2)*(B92-B32)</f>
        <v>0.10833839104622577</v>
      </c>
      <c r="C96" s="27">
        <f t="shared" si="59"/>
        <v>0.42628038569916354</v>
      </c>
      <c r="D96" s="27">
        <f t="shared" si="59"/>
        <v>0.09426464474823049</v>
      </c>
      <c r="E96" s="27">
        <f t="shared" si="59"/>
        <v>-0.41509223572436726</v>
      </c>
      <c r="F96" s="27">
        <f t="shared" si="59"/>
        <v>-0.9758916116864256</v>
      </c>
      <c r="G96" s="27">
        <f t="shared" si="59"/>
        <v>-1.4988504801496918</v>
      </c>
      <c r="H96" s="27">
        <f t="shared" si="59"/>
        <v>-1.9223518993206823</v>
      </c>
      <c r="I96" s="27">
        <f t="shared" si="59"/>
        <v>-2.212758940659664</v>
      </c>
      <c r="J96" s="27">
        <f t="shared" si="59"/>
        <v>-2.3559271861086697</v>
      </c>
      <c r="K96" s="27">
        <f t="shared" si="59"/>
        <v>-2.3389845210644857</v>
      </c>
      <c r="L96" s="27">
        <f t="shared" si="59"/>
        <v>-2.126045558265502</v>
      </c>
      <c r="M96" s="27">
        <f t="shared" si="59"/>
        <v>-1.652411624693891</v>
      </c>
      <c r="N96" s="27">
        <f t="shared" si="59"/>
        <v>-0.8784145658410257</v>
      </c>
      <c r="O96" s="27">
        <f t="shared" si="59"/>
        <v>0.10969163914861947</v>
      </c>
      <c r="P96" s="27">
        <f t="shared" si="59"/>
        <v>1.0605861510809496</v>
      </c>
      <c r="Q96" s="27">
        <f t="shared" si="59"/>
        <v>1.6635145004629064</v>
      </c>
      <c r="R96" s="27">
        <f t="shared" si="59"/>
        <v>1.7468278383067046</v>
      </c>
      <c r="S96" s="27">
        <f t="shared" si="59"/>
        <v>1.4050317310530744</v>
      </c>
      <c r="T96" s="27">
        <f t="shared" si="59"/>
        <v>0.916813156615257</v>
      </c>
      <c r="U96" s="27">
        <f t="shared" si="59"/>
        <v>0.5369419542382812</v>
      </c>
      <c r="V96" s="27">
        <f t="shared" si="59"/>
        <v>0.37382349597635</v>
      </c>
      <c r="W96" s="27">
        <f t="shared" si="59"/>
        <v>0.4090621665370238</v>
      </c>
      <c r="X96" s="27">
        <f t="shared" si="59"/>
        <v>0.5532091396402968</v>
      </c>
      <c r="Y96" s="27">
        <f t="shared" si="59"/>
        <v>0.6774499916004811</v>
      </c>
      <c r="Z96" s="28">
        <f t="shared" si="59"/>
        <v>0.6601467698987367</v>
      </c>
    </row>
    <row r="97" spans="1:26" ht="15.75">
      <c r="A97" s="132" t="s">
        <v>67</v>
      </c>
      <c r="B97" s="33">
        <f>0.5*$J$3*(B93^2+B94^2)+0.5*$L$3*B42^2</f>
        <v>1.2552456075987817</v>
      </c>
      <c r="C97" s="27">
        <f>0.5*$J$3*(C93^2+C94^2)+0.5*$L$3*C42^2</f>
        <v>1.276799995677578</v>
      </c>
      <c r="D97" s="27">
        <f aca="true" t="shared" si="60" ref="D97:Z97">0.5*$J$3*(D93^2+D94^2)+0.5*$L$3*D42^2</f>
        <v>1.5864624669019902</v>
      </c>
      <c r="E97" s="27">
        <f t="shared" si="60"/>
        <v>1.7549232685357983</v>
      </c>
      <c r="F97" s="27">
        <f t="shared" si="60"/>
        <v>1.7392974229832558</v>
      </c>
      <c r="G97" s="27">
        <f t="shared" si="60"/>
        <v>1.5806241420187628</v>
      </c>
      <c r="H97" s="27">
        <f t="shared" si="60"/>
        <v>1.3579665705218287</v>
      </c>
      <c r="I97" s="27">
        <f t="shared" si="60"/>
        <v>1.1658217631089989</v>
      </c>
      <c r="J97" s="27">
        <f t="shared" si="60"/>
        <v>1.1022707841523842</v>
      </c>
      <c r="K97" s="27">
        <f t="shared" si="60"/>
        <v>1.2595039642919534</v>
      </c>
      <c r="L97" s="27">
        <f t="shared" si="60"/>
        <v>1.6979139026726244</v>
      </c>
      <c r="M97" s="27">
        <f t="shared" si="60"/>
        <v>2.383196366552125</v>
      </c>
      <c r="N97" s="27">
        <f t="shared" si="60"/>
        <v>3.1092177851010674</v>
      </c>
      <c r="O97" s="27">
        <f t="shared" si="60"/>
        <v>3.522109869480473</v>
      </c>
      <c r="P97" s="27">
        <f t="shared" si="60"/>
        <v>3.335998829945298</v>
      </c>
      <c r="Q97" s="27">
        <f t="shared" si="60"/>
        <v>2.582916725514477</v>
      </c>
      <c r="R97" s="27">
        <f t="shared" si="60"/>
        <v>1.614287738635226</v>
      </c>
      <c r="S97" s="27">
        <f t="shared" si="60"/>
        <v>0.8225908999001964</v>
      </c>
      <c r="T97" s="27">
        <f t="shared" si="60"/>
        <v>0.37325406384927734</v>
      </c>
      <c r="U97" s="27">
        <f t="shared" si="60"/>
        <v>0.19873523904118678</v>
      </c>
      <c r="V97" s="27">
        <f t="shared" si="60"/>
        <v>0.17152473191179451</v>
      </c>
      <c r="W97" s="27">
        <f t="shared" si="60"/>
        <v>0.2329932317490793</v>
      </c>
      <c r="X97" s="27">
        <f t="shared" si="60"/>
        <v>0.40420415957066563</v>
      </c>
      <c r="Y97" s="27">
        <f t="shared" si="60"/>
        <v>0.7155472179320091</v>
      </c>
      <c r="Z97" s="28">
        <f t="shared" si="60"/>
        <v>1.1335078414545516</v>
      </c>
    </row>
    <row r="98" spans="1:26" ht="15.75">
      <c r="A98" s="132" t="s">
        <v>68</v>
      </c>
      <c r="B98" s="33">
        <f>$K$3*(B92-$I$3)</f>
        <v>0</v>
      </c>
      <c r="C98" s="27">
        <f>$K$3*(C92-$I$3)</f>
        <v>6.4534511895234425</v>
      </c>
      <c r="D98" s="27">
        <f aca="true" t="shared" si="61" ref="D98:Z98">$K$3*(D92-$I$3)</f>
        <v>12.677078565710744</v>
      </c>
      <c r="E98" s="27">
        <f t="shared" si="61"/>
        <v>18.31111359147244</v>
      </c>
      <c r="F98" s="27">
        <f t="shared" si="61"/>
        <v>23.062389871383292</v>
      </c>
      <c r="G98" s="27">
        <f t="shared" si="61"/>
        <v>26.70636106818501</v>
      </c>
      <c r="H98" s="27">
        <f t="shared" si="61"/>
        <v>29.082158002688047</v>
      </c>
      <c r="I98" s="27">
        <f t="shared" si="61"/>
        <v>30.08315672666672</v>
      </c>
      <c r="J98" s="27">
        <f t="shared" si="61"/>
        <v>29.645573481297493</v>
      </c>
      <c r="K98" s="27">
        <f t="shared" si="61"/>
        <v>27.739422597356686</v>
      </c>
      <c r="L98" s="27">
        <f t="shared" si="61"/>
        <v>24.370552716982427</v>
      </c>
      <c r="M98" s="27">
        <f t="shared" si="61"/>
        <v>19.60639980944309</v>
      </c>
      <c r="N98" s="27">
        <f t="shared" si="61"/>
        <v>13.630135727430138</v>
      </c>
      <c r="O98" s="27">
        <f t="shared" si="61"/>
        <v>6.7972021110760075</v>
      </c>
      <c r="P98" s="27">
        <f t="shared" si="61"/>
        <v>-0.3598983911067387</v>
      </c>
      <c r="Q98" s="27">
        <f t="shared" si="61"/>
        <v>-7.204948971062978</v>
      </c>
      <c r="R98" s="27">
        <f t="shared" si="61"/>
        <v>-13.11166342994837</v>
      </c>
      <c r="S98" s="27">
        <f t="shared" si="61"/>
        <v>-17.561218106672754</v>
      </c>
      <c r="T98" s="27">
        <f t="shared" si="61"/>
        <v>-20.199552369559438</v>
      </c>
      <c r="U98" s="27">
        <f t="shared" si="61"/>
        <v>-20.859026697231478</v>
      </c>
      <c r="V98" s="27">
        <f t="shared" si="61"/>
        <v>-19.555411785331145</v>
      </c>
      <c r="W98" s="27">
        <f t="shared" si="61"/>
        <v>-16.46777214502312</v>
      </c>
      <c r="X98" s="27">
        <f t="shared" si="61"/>
        <v>-11.905787514607821</v>
      </c>
      <c r="Y98" s="27">
        <f t="shared" si="61"/>
        <v>-6.268567420429921</v>
      </c>
      <c r="Z98" s="28">
        <f t="shared" si="61"/>
        <v>-5.445643935786393E-15</v>
      </c>
    </row>
    <row r="99" spans="1:26" ht="15.75">
      <c r="A99" s="132" t="s">
        <v>69</v>
      </c>
      <c r="B99" s="33">
        <f>$J$3*B95</f>
        <v>-1.2498096189454895</v>
      </c>
      <c r="C99" s="27">
        <f aca="true" t="shared" si="62" ref="C99:Z99">$J$3*C95</f>
        <v>-1.3970412557634282</v>
      </c>
      <c r="D99" s="27">
        <f t="shared" si="62"/>
        <v>-2.2210170204542456</v>
      </c>
      <c r="E99" s="27">
        <f t="shared" si="62"/>
        <v>-2.762408409856722</v>
      </c>
      <c r="F99" s="27">
        <f t="shared" si="62"/>
        <v>-2.675127841617301</v>
      </c>
      <c r="G99" s="27">
        <f t="shared" si="62"/>
        <v>-1.8138091786029857</v>
      </c>
      <c r="H99" s="27">
        <f t="shared" si="62"/>
        <v>-0.2458183949563636</v>
      </c>
      <c r="I99" s="27">
        <f t="shared" si="62"/>
        <v>1.7730754366107329</v>
      </c>
      <c r="J99" s="27">
        <f t="shared" si="62"/>
        <v>3.867154514597378</v>
      </c>
      <c r="K99" s="27">
        <f t="shared" si="62"/>
        <v>5.635604261477043</v>
      </c>
      <c r="L99" s="27">
        <f t="shared" si="62"/>
        <v>6.751357290479092</v>
      </c>
      <c r="M99" s="27">
        <f t="shared" si="62"/>
        <v>7.035099479512839</v>
      </c>
      <c r="N99" s="27">
        <f t="shared" si="62"/>
        <v>6.477542622471422</v>
      </c>
      <c r="O99" s="27">
        <f t="shared" si="62"/>
        <v>5.209776480213602</v>
      </c>
      <c r="P99" s="27">
        <f t="shared" si="62"/>
        <v>3.4792208982119934</v>
      </c>
      <c r="Q99" s="27">
        <f t="shared" si="62"/>
        <v>1.6727162229813195</v>
      </c>
      <c r="R99" s="27">
        <f t="shared" si="62"/>
        <v>0.25814252753110073</v>
      </c>
      <c r="S99" s="27">
        <f t="shared" si="62"/>
        <v>-0.4640995633454369</v>
      </c>
      <c r="T99" s="27">
        <f t="shared" si="62"/>
        <v>-0.5580730926896466</v>
      </c>
      <c r="U99" s="27">
        <f t="shared" si="62"/>
        <v>-0.33062408518271663</v>
      </c>
      <c r="V99" s="27">
        <f t="shared" si="62"/>
        <v>-0.0631572501532256</v>
      </c>
      <c r="W99" s="27">
        <f t="shared" si="62"/>
        <v>0.0931532283057322</v>
      </c>
      <c r="X99" s="27">
        <f t="shared" si="62"/>
        <v>0.043544189392288477</v>
      </c>
      <c r="Y99" s="27">
        <f t="shared" si="62"/>
        <v>-0.3150888770280911</v>
      </c>
      <c r="Z99" s="28">
        <f t="shared" si="62"/>
        <v>-1.0285951776239468</v>
      </c>
    </row>
    <row r="100" spans="1:26" ht="15.75">
      <c r="A100" s="132" t="s">
        <v>70</v>
      </c>
      <c r="B100" s="33">
        <f>$J$3*B96</f>
        <v>0.2708459776155644</v>
      </c>
      <c r="C100" s="27">
        <f aca="true" t="shared" si="63" ref="C100:Z100">$J$3*C96</f>
        <v>1.065700964247909</v>
      </c>
      <c r="D100" s="27">
        <f t="shared" si="63"/>
        <v>0.23566161187057622</v>
      </c>
      <c r="E100" s="27">
        <f t="shared" si="63"/>
        <v>-1.037730589310918</v>
      </c>
      <c r="F100" s="27">
        <f t="shared" si="63"/>
        <v>-2.439729029216064</v>
      </c>
      <c r="G100" s="27">
        <f t="shared" si="63"/>
        <v>-3.7471262003742294</v>
      </c>
      <c r="H100" s="27">
        <f t="shared" si="63"/>
        <v>-4.805879748301706</v>
      </c>
      <c r="I100" s="27">
        <f t="shared" si="63"/>
        <v>-5.53189735164916</v>
      </c>
      <c r="J100" s="27">
        <f t="shared" si="63"/>
        <v>-5.889817965271674</v>
      </c>
      <c r="K100" s="27">
        <f t="shared" si="63"/>
        <v>-5.847461302661214</v>
      </c>
      <c r="L100" s="27">
        <f t="shared" si="63"/>
        <v>-5.315113895663755</v>
      </c>
      <c r="M100" s="27">
        <f t="shared" si="63"/>
        <v>-4.131029061734727</v>
      </c>
      <c r="N100" s="27">
        <f t="shared" si="63"/>
        <v>-2.196036414602564</v>
      </c>
      <c r="O100" s="27">
        <f t="shared" si="63"/>
        <v>0.2742290978715487</v>
      </c>
      <c r="P100" s="27">
        <f t="shared" si="63"/>
        <v>2.651465377702374</v>
      </c>
      <c r="Q100" s="27">
        <f t="shared" si="63"/>
        <v>4.158786251157266</v>
      </c>
      <c r="R100" s="27">
        <f t="shared" si="63"/>
        <v>4.367069595766761</v>
      </c>
      <c r="S100" s="27">
        <f t="shared" si="63"/>
        <v>3.512579327632686</v>
      </c>
      <c r="T100" s="27">
        <f t="shared" si="63"/>
        <v>2.2920328915381423</v>
      </c>
      <c r="U100" s="27">
        <f t="shared" si="63"/>
        <v>1.3423548855957028</v>
      </c>
      <c r="V100" s="27">
        <f t="shared" si="63"/>
        <v>0.934558739940875</v>
      </c>
      <c r="W100" s="27">
        <f t="shared" si="63"/>
        <v>1.0226554163425596</v>
      </c>
      <c r="X100" s="27">
        <f t="shared" si="63"/>
        <v>1.3830228491007421</v>
      </c>
      <c r="Y100" s="27">
        <f t="shared" si="63"/>
        <v>1.6936249790012028</v>
      </c>
      <c r="Z100" s="28">
        <f t="shared" si="63"/>
        <v>1.6503669247468418</v>
      </c>
    </row>
    <row r="101" spans="1:26" ht="15.75">
      <c r="A101" s="132" t="s">
        <v>71</v>
      </c>
      <c r="B101" s="33">
        <f>$L$3*B43</f>
        <v>1.005866767294727</v>
      </c>
      <c r="C101" s="27">
        <f aca="true" t="shared" si="64" ref="C101:Z101">$L$3*C43</f>
        <v>1.1322069347217736</v>
      </c>
      <c r="D101" s="27">
        <f t="shared" si="64"/>
        <v>1.4900245665549159</v>
      </c>
      <c r="E101" s="27">
        <f t="shared" si="64"/>
        <v>1.6747277979669493</v>
      </c>
      <c r="F101" s="27">
        <f t="shared" si="64"/>
        <v>1.611962835003135</v>
      </c>
      <c r="G101" s="27">
        <f t="shared" si="64"/>
        <v>1.2849886631242424</v>
      </c>
      <c r="H101" s="27">
        <f t="shared" si="64"/>
        <v>0.7062509486680759</v>
      </c>
      <c r="I101" s="27">
        <f t="shared" si="64"/>
        <v>-0.09443119877284747</v>
      </c>
      <c r="J101" s="27">
        <f t="shared" si="64"/>
        <v>-1.0648384780536002</v>
      </c>
      <c r="K101" s="27">
        <f t="shared" si="64"/>
        <v>-2.104486672066826</v>
      </c>
      <c r="L101" s="27">
        <f t="shared" si="64"/>
        <v>-3.028058118898504</v>
      </c>
      <c r="M101" s="27">
        <f t="shared" si="64"/>
        <v>-3.5671285848667864</v>
      </c>
      <c r="N101" s="27">
        <f t="shared" si="64"/>
        <v>-3.4842491454646334</v>
      </c>
      <c r="O101" s="27">
        <f t="shared" si="64"/>
        <v>-2.7593345765262356</v>
      </c>
      <c r="P101" s="27">
        <f t="shared" si="64"/>
        <v>-1.6455842256136666</v>
      </c>
      <c r="Q101" s="27">
        <f t="shared" si="64"/>
        <v>-0.527014493639985</v>
      </c>
      <c r="R101" s="27">
        <f t="shared" si="64"/>
        <v>0.27406817871255934</v>
      </c>
      <c r="S101" s="27">
        <f t="shared" si="64"/>
        <v>0.6288856218866811</v>
      </c>
      <c r="T101" s="27">
        <f t="shared" si="64"/>
        <v>0.618400260090739</v>
      </c>
      <c r="U101" s="27">
        <f t="shared" si="64"/>
        <v>0.42988061276124034</v>
      </c>
      <c r="V101" s="27">
        <f t="shared" si="64"/>
        <v>0.23549974884307437</v>
      </c>
      <c r="W101" s="27">
        <f t="shared" si="64"/>
        <v>0.14859024933309622</v>
      </c>
      <c r="X101" s="27">
        <f t="shared" si="64"/>
        <v>0.23520552890250243</v>
      </c>
      <c r="Y101" s="27">
        <f t="shared" si="64"/>
        <v>0.5089836141035159</v>
      </c>
      <c r="Z101" s="28">
        <f t="shared" si="64"/>
        <v>0.91816708476258</v>
      </c>
    </row>
    <row r="102" spans="1:26" ht="15.75">
      <c r="A102" s="132" t="s">
        <v>72</v>
      </c>
      <c r="B102" s="33">
        <f>$K$3*B94</f>
        <v>24.575096502180077</v>
      </c>
      <c r="C102" s="27">
        <f aca="true" t="shared" si="65" ref="C102:Z102">$K$3*C94</f>
        <v>24.460149936580322</v>
      </c>
      <c r="D102" s="27">
        <f t="shared" si="65"/>
        <v>26.24956310511136</v>
      </c>
      <c r="E102" s="27">
        <f t="shared" si="65"/>
        <v>25.715459318992426</v>
      </c>
      <c r="F102" s="27">
        <f t="shared" si="65"/>
        <v>22.62432509207071</v>
      </c>
      <c r="G102" s="27">
        <f t="shared" si="65"/>
        <v>17.276869696816494</v>
      </c>
      <c r="H102" s="27">
        <f t="shared" si="65"/>
        <v>10.150412903741424</v>
      </c>
      <c r="I102" s="27">
        <f t="shared" si="65"/>
        <v>1.7784323667184245</v>
      </c>
      <c r="J102" s="27">
        <f t="shared" si="65"/>
        <v>-7.313539307979576</v>
      </c>
      <c r="K102" s="27">
        <f t="shared" si="65"/>
        <v>-16.610461853771287</v>
      </c>
      <c r="L102" s="27">
        <f t="shared" si="65"/>
        <v>-25.526483982049328</v>
      </c>
      <c r="M102" s="27">
        <f t="shared" si="65"/>
        <v>-33.25290191943558</v>
      </c>
      <c r="N102" s="27">
        <f t="shared" si="65"/>
        <v>-38.67675654220515</v>
      </c>
      <c r="O102" s="27">
        <f t="shared" si="65"/>
        <v>-40.604501007887</v>
      </c>
      <c r="P102" s="27">
        <f t="shared" si="65"/>
        <v>-38.303411891125236</v>
      </c>
      <c r="Q102" s="27">
        <f t="shared" si="65"/>
        <v>-32.01577651788517</v>
      </c>
      <c r="R102" s="27">
        <f t="shared" si="65"/>
        <v>-23.083302998774315</v>
      </c>
      <c r="S102" s="27">
        <f t="shared" si="65"/>
        <v>-13.526662244505117</v>
      </c>
      <c r="T102" s="27">
        <f t="shared" si="65"/>
        <v>-5.220835280564787</v>
      </c>
      <c r="U102" s="27">
        <f t="shared" si="65"/>
        <v>0.8851861329803175</v>
      </c>
      <c r="V102" s="27">
        <f t="shared" si="65"/>
        <v>5.098466808481261</v>
      </c>
      <c r="W102" s="27">
        <f t="shared" si="65"/>
        <v>8.737743554600051</v>
      </c>
      <c r="X102" s="27">
        <f t="shared" si="65"/>
        <v>13.131785542280623</v>
      </c>
      <c r="Y102" s="27">
        <f t="shared" si="65"/>
        <v>18.34267911887586</v>
      </c>
      <c r="Z102" s="28">
        <f t="shared" si="65"/>
        <v>23.353024834194628</v>
      </c>
    </row>
    <row r="103" spans="1:26" ht="16.5" thickBot="1">
      <c r="A103" s="133" t="s">
        <v>66</v>
      </c>
      <c r="B103" s="34">
        <f>B99*B93+B100*B94+B101*B42</f>
        <v>0.2867203532590942</v>
      </c>
      <c r="C103" s="29">
        <f aca="true" t="shared" si="66" ref="C103:Z103">C99*C93+C100*C94+C101*C42</f>
        <v>1.3341051852025434</v>
      </c>
      <c r="D103" s="29">
        <f t="shared" si="66"/>
        <v>1.1329810391918227</v>
      </c>
      <c r="E103" s="29">
        <f t="shared" si="66"/>
        <v>0.5880012261255243</v>
      </c>
      <c r="F103" s="29">
        <f t="shared" si="66"/>
        <v>-0.09411824114236245</v>
      </c>
      <c r="G103" s="29">
        <f t="shared" si="66"/>
        <v>-0.8247068326364225</v>
      </c>
      <c r="H103" s="29">
        <f t="shared" si="66"/>
        <v>-1.48836084929049</v>
      </c>
      <c r="I103" s="29">
        <f t="shared" si="66"/>
        <v>-1.8153716018067239</v>
      </c>
      <c r="J103" s="29">
        <f t="shared" si="66"/>
        <v>-1.4186045126688678</v>
      </c>
      <c r="K103" s="29">
        <f t="shared" si="66"/>
        <v>-0.045210671796127366</v>
      </c>
      <c r="L103" s="29">
        <f t="shared" si="66"/>
        <v>2.0335243819668225</v>
      </c>
      <c r="M103" s="29">
        <f t="shared" si="66"/>
        <v>3.7417205380986847</v>
      </c>
      <c r="N103" s="29">
        <f t="shared" si="66"/>
        <v>3.5855502559345664</v>
      </c>
      <c r="O103" s="29">
        <f t="shared" si="66"/>
        <v>1.0234009299789242</v>
      </c>
      <c r="P103" s="29">
        <f t="shared" si="66"/>
        <v>-2.4709520092831707</v>
      </c>
      <c r="Q103" s="29">
        <f t="shared" si="66"/>
        <v>-4.4912687016947075</v>
      </c>
      <c r="R103" s="29">
        <f t="shared" si="66"/>
        <v>-4.065032651861273</v>
      </c>
      <c r="S103" s="29">
        <f t="shared" si="66"/>
        <v>-2.335055504392407</v>
      </c>
      <c r="T103" s="29">
        <f t="shared" si="66"/>
        <v>-0.8592460098456373</v>
      </c>
      <c r="U103" s="29">
        <f t="shared" si="66"/>
        <v>-0.1360052735611411</v>
      </c>
      <c r="V103" s="29">
        <f t="shared" si="66"/>
        <v>0.1466288685035148</v>
      </c>
      <c r="W103" s="29">
        <f t="shared" si="66"/>
        <v>0.3677969133791189</v>
      </c>
      <c r="X103" s="29">
        <f t="shared" si="66"/>
        <v>0.7283216846931461</v>
      </c>
      <c r="Y103" s="29">
        <f t="shared" si="66"/>
        <v>1.2116158588701966</v>
      </c>
      <c r="Z103" s="30">
        <f t="shared" si="66"/>
        <v>1.5838599796426607</v>
      </c>
    </row>
    <row r="104" spans="2:26" ht="16.5" thickBot="1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6.5" thickBot="1">
      <c r="A105" s="130" t="s">
        <v>135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>
      <c r="A106" s="131" t="s">
        <v>20</v>
      </c>
      <c r="B106" s="32">
        <f>$H$4</f>
        <v>2</v>
      </c>
      <c r="C106" s="25">
        <f aca="true" t="shared" si="67" ref="C106:Z106">$H$4</f>
        <v>2</v>
      </c>
      <c r="D106" s="25">
        <f t="shared" si="67"/>
        <v>2</v>
      </c>
      <c r="E106" s="25">
        <f t="shared" si="67"/>
        <v>2</v>
      </c>
      <c r="F106" s="25">
        <f t="shared" si="67"/>
        <v>2</v>
      </c>
      <c r="G106" s="25">
        <f t="shared" si="67"/>
        <v>2</v>
      </c>
      <c r="H106" s="25">
        <f t="shared" si="67"/>
        <v>2</v>
      </c>
      <c r="I106" s="25">
        <f t="shared" si="67"/>
        <v>2</v>
      </c>
      <c r="J106" s="25">
        <f t="shared" si="67"/>
        <v>2</v>
      </c>
      <c r="K106" s="25">
        <f t="shared" si="67"/>
        <v>2</v>
      </c>
      <c r="L106" s="25">
        <f t="shared" si="67"/>
        <v>2</v>
      </c>
      <c r="M106" s="25">
        <f t="shared" si="67"/>
        <v>2</v>
      </c>
      <c r="N106" s="25">
        <f t="shared" si="67"/>
        <v>2</v>
      </c>
      <c r="O106" s="25">
        <f t="shared" si="67"/>
        <v>2</v>
      </c>
      <c r="P106" s="25">
        <f t="shared" si="67"/>
        <v>2</v>
      </c>
      <c r="Q106" s="25">
        <f t="shared" si="67"/>
        <v>2</v>
      </c>
      <c r="R106" s="25">
        <f t="shared" si="67"/>
        <v>2</v>
      </c>
      <c r="S106" s="25">
        <f t="shared" si="67"/>
        <v>2</v>
      </c>
      <c r="T106" s="25">
        <f t="shared" si="67"/>
        <v>2</v>
      </c>
      <c r="U106" s="25">
        <f t="shared" si="67"/>
        <v>2</v>
      </c>
      <c r="V106" s="25">
        <f t="shared" si="67"/>
        <v>2</v>
      </c>
      <c r="W106" s="25">
        <f t="shared" si="67"/>
        <v>2</v>
      </c>
      <c r="X106" s="25">
        <f t="shared" si="67"/>
        <v>2</v>
      </c>
      <c r="Y106" s="25">
        <f t="shared" si="67"/>
        <v>2</v>
      </c>
      <c r="Z106" s="26">
        <f t="shared" si="67"/>
        <v>2</v>
      </c>
    </row>
    <row r="107" spans="1:26" ht="15.75">
      <c r="A107" s="132" t="s">
        <v>21</v>
      </c>
      <c r="B107" s="33">
        <f aca="true" t="shared" si="68" ref="B107:Z107">$I$4+(B48-$F$4)</f>
        <v>-3</v>
      </c>
      <c r="C107" s="27">
        <f t="shared" si="68"/>
        <v>-2.7319096230169477</v>
      </c>
      <c r="D107" s="27">
        <f t="shared" si="68"/>
        <v>-2.4637770188735253</v>
      </c>
      <c r="E107" s="27">
        <f t="shared" si="68"/>
        <v>-2.20862634668649</v>
      </c>
      <c r="F107" s="27">
        <f t="shared" si="68"/>
        <v>-1.9764423366749324</v>
      </c>
      <c r="G107" s="27">
        <f t="shared" si="68"/>
        <v>-1.7749545477135342</v>
      </c>
      <c r="H107" s="27">
        <f t="shared" si="68"/>
        <v>-1.6107616085814485</v>
      </c>
      <c r="I107" s="27">
        <f t="shared" si="68"/>
        <v>-1.4905447246352477</v>
      </c>
      <c r="J107" s="27">
        <f t="shared" si="68"/>
        <v>-1.4221349977268072</v>
      </c>
      <c r="K107" s="27">
        <f t="shared" si="68"/>
        <v>-1.4150716033810058</v>
      </c>
      <c r="L107" s="27">
        <f t="shared" si="68"/>
        <v>-1.4799523031478978</v>
      </c>
      <c r="M107" s="27">
        <f t="shared" si="68"/>
        <v>-1.625578577077321</v>
      </c>
      <c r="N107" s="27">
        <f t="shared" si="68"/>
        <v>-1.8535652603217514</v>
      </c>
      <c r="O107" s="27">
        <f t="shared" si="68"/>
        <v>-2.152602216455115</v>
      </c>
      <c r="P107" s="27">
        <f t="shared" si="68"/>
        <v>-2.4968590306695218</v>
      </c>
      <c r="Q107" s="27">
        <f t="shared" si="68"/>
        <v>-2.850767342342351</v>
      </c>
      <c r="R107" s="27">
        <f t="shared" si="68"/>
        <v>-3.177176688050099</v>
      </c>
      <c r="S107" s="27">
        <f t="shared" si="68"/>
        <v>-3.444359358146883</v>
      </c>
      <c r="T107" s="27">
        <f t="shared" si="68"/>
        <v>-3.6299620692164734</v>
      </c>
      <c r="U107" s="27">
        <f t="shared" si="68"/>
        <v>-3.7223278301203386</v>
      </c>
      <c r="V107" s="27">
        <f t="shared" si="68"/>
        <v>-3.720113160165896</v>
      </c>
      <c r="W107" s="27">
        <f t="shared" si="68"/>
        <v>-3.6308268088344526</v>
      </c>
      <c r="X107" s="27">
        <f t="shared" si="68"/>
        <v>-3.4686482701243575</v>
      </c>
      <c r="Y107" s="27">
        <f t="shared" si="68"/>
        <v>-3.251823856611768</v>
      </c>
      <c r="Z107" s="28">
        <f t="shared" si="68"/>
        <v>-3</v>
      </c>
    </row>
    <row r="108" spans="1:26" ht="15.75">
      <c r="A108" s="132" t="s">
        <v>22</v>
      </c>
      <c r="B108" s="33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8">
        <v>0</v>
      </c>
    </row>
    <row r="109" spans="1:26" ht="15.75">
      <c r="A109" s="132" t="s">
        <v>23</v>
      </c>
      <c r="B109" s="33">
        <f aca="true" t="shared" si="69" ref="B109:Z109">B50</f>
        <v>1.0042376465096696</v>
      </c>
      <c r="C109" s="27">
        <f t="shared" si="69"/>
        <v>1.0334498177481497</v>
      </c>
      <c r="D109" s="27">
        <f t="shared" si="69"/>
        <v>1.1561625800096258</v>
      </c>
      <c r="E109" s="27">
        <f t="shared" si="69"/>
        <v>1.2038644361475823</v>
      </c>
      <c r="F109" s="27">
        <f t="shared" si="69"/>
        <v>1.1660664876046902</v>
      </c>
      <c r="G109" s="27">
        <f t="shared" si="69"/>
        <v>1.0480021072420869</v>
      </c>
      <c r="H109" s="27">
        <f t="shared" si="69"/>
        <v>0.8550058846101221</v>
      </c>
      <c r="I109" s="27">
        <f t="shared" si="69"/>
        <v>0.5885994879333459</v>
      </c>
      <c r="J109" s="27">
        <f t="shared" si="69"/>
        <v>0.246803850106025</v>
      </c>
      <c r="K109" s="27">
        <f t="shared" si="69"/>
        <v>-0.17068460719665124</v>
      </c>
      <c r="L109" s="27">
        <f t="shared" si="69"/>
        <v>-0.6509195591995174</v>
      </c>
      <c r="M109" s="27">
        <f t="shared" si="69"/>
        <v>-1.1514449288321518</v>
      </c>
      <c r="N109" s="27">
        <f t="shared" si="69"/>
        <v>-1.5916702065085238</v>
      </c>
      <c r="O109" s="27">
        <f t="shared" si="69"/>
        <v>-1.8712436453359087</v>
      </c>
      <c r="P109" s="27">
        <f t="shared" si="69"/>
        <v>-1.9147105590653948</v>
      </c>
      <c r="Q109" s="27">
        <f t="shared" si="69"/>
        <v>-1.711502064992279</v>
      </c>
      <c r="R109" s="27">
        <f t="shared" si="69"/>
        <v>-1.3245973810772549</v>
      </c>
      <c r="S109" s="27">
        <f t="shared" si="69"/>
        <v>-0.864297879668708</v>
      </c>
      <c r="T109" s="27">
        <f t="shared" si="69"/>
        <v>-0.4401163357929032</v>
      </c>
      <c r="U109" s="27">
        <f t="shared" si="69"/>
        <v>-0.11612125946099502</v>
      </c>
      <c r="V109" s="27">
        <f t="shared" si="69"/>
        <v>0.1085485928876434</v>
      </c>
      <c r="W109" s="27">
        <f t="shared" si="69"/>
        <v>0.2890399927934495</v>
      </c>
      <c r="X109" s="27">
        <f t="shared" si="69"/>
        <v>0.4894451827628412</v>
      </c>
      <c r="Y109" s="27">
        <f t="shared" si="69"/>
        <v>0.7229169746818852</v>
      </c>
      <c r="Z109" s="28">
        <f t="shared" si="69"/>
        <v>0.9542988649624647</v>
      </c>
    </row>
    <row r="110" spans="1:26" ht="15.75">
      <c r="A110" s="132" t="s">
        <v>24</v>
      </c>
      <c r="B110" s="33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8">
        <v>0</v>
      </c>
    </row>
    <row r="111" spans="1:26" ht="15.75">
      <c r="A111" s="132" t="s">
        <v>25</v>
      </c>
      <c r="B111" s="33">
        <f aca="true" t="shared" si="70" ref="B111:Z111">B52</f>
        <v>0.2341291885297351</v>
      </c>
      <c r="C111" s="27">
        <f t="shared" si="70"/>
        <v>0.5828665667488113</v>
      </c>
      <c r="D111" s="27">
        <f t="shared" si="70"/>
        <v>0.35155373527602196</v>
      </c>
      <c r="E111" s="27">
        <f t="shared" si="70"/>
        <v>-0.031769730130094764</v>
      </c>
      <c r="F111" s="27">
        <f t="shared" si="70"/>
        <v>-0.47369702423634713</v>
      </c>
      <c r="G111" s="27">
        <f t="shared" si="70"/>
        <v>-0.9335970660177031</v>
      </c>
      <c r="H111" s="27">
        <f t="shared" si="70"/>
        <v>-1.4029527707147422</v>
      </c>
      <c r="I111" s="27">
        <f t="shared" si="70"/>
        <v>-1.8888016236832037</v>
      </c>
      <c r="J111" s="27">
        <f t="shared" si="70"/>
        <v>-2.386583039065375</v>
      </c>
      <c r="K111" s="27">
        <f t="shared" si="70"/>
        <v>-2.8413498780491424</v>
      </c>
      <c r="L111" s="27">
        <f t="shared" si="70"/>
        <v>-3.106536256325787</v>
      </c>
      <c r="M111" s="27">
        <f t="shared" si="70"/>
        <v>-2.9500647532979403</v>
      </c>
      <c r="N111" s="27">
        <f t="shared" si="70"/>
        <v>-2.1848086026140323</v>
      </c>
      <c r="O111" s="27">
        <f t="shared" si="70"/>
        <v>-0.8816328864839891</v>
      </c>
      <c r="P111" s="27">
        <f t="shared" si="70"/>
        <v>0.5625913283452499</v>
      </c>
      <c r="Q111" s="27">
        <f t="shared" si="70"/>
        <v>1.6263431570076123</v>
      </c>
      <c r="R111" s="27">
        <f t="shared" si="70"/>
        <v>1.9872249960891077</v>
      </c>
      <c r="S111" s="27">
        <f t="shared" si="70"/>
        <v>1.7148785546912588</v>
      </c>
      <c r="T111" s="27">
        <f t="shared" si="70"/>
        <v>1.1643605636329366</v>
      </c>
      <c r="U111" s="27">
        <f t="shared" si="70"/>
        <v>0.6875701354986087</v>
      </c>
      <c r="V111" s="27">
        <f t="shared" si="70"/>
        <v>0.45174255631314064</v>
      </c>
      <c r="W111" s="27">
        <f t="shared" si="70"/>
        <v>0.4543220712472173</v>
      </c>
      <c r="X111" s="27">
        <f t="shared" si="70"/>
        <v>0.5994700446557802</v>
      </c>
      <c r="Y111" s="27">
        <f t="shared" si="70"/>
        <v>0.7476417081381911</v>
      </c>
      <c r="Z111" s="28">
        <f t="shared" si="70"/>
        <v>0.7749697228003817</v>
      </c>
    </row>
    <row r="112" spans="1:26" ht="15.75">
      <c r="A112" s="132" t="s">
        <v>67</v>
      </c>
      <c r="B112" s="33">
        <f>0.5*$J$4*(B108^2+B109^2)</f>
        <v>0.5042466253336401</v>
      </c>
      <c r="C112" s="27">
        <f aca="true" t="shared" si="71" ref="C112:Y112">0.5*$J$4*(C108^2+C109^2)</f>
        <v>0.5340092629018419</v>
      </c>
      <c r="D112" s="27">
        <f t="shared" si="71"/>
        <v>0.6683559557072571</v>
      </c>
      <c r="E112" s="27">
        <f t="shared" si="71"/>
        <v>0.7246447903104681</v>
      </c>
      <c r="F112" s="27">
        <f t="shared" si="71"/>
        <v>0.6798555267573696</v>
      </c>
      <c r="G112" s="27">
        <f t="shared" si="71"/>
        <v>0.5491542083919273</v>
      </c>
      <c r="H112" s="27">
        <f t="shared" si="71"/>
        <v>0.3655175313589687</v>
      </c>
      <c r="I112" s="27">
        <f t="shared" si="71"/>
        <v>0.17322467859769852</v>
      </c>
      <c r="J112" s="27">
        <f t="shared" si="71"/>
        <v>0.030456070213578632</v>
      </c>
      <c r="K112" s="27">
        <f t="shared" si="71"/>
        <v>0.014566617566937563</v>
      </c>
      <c r="L112" s="27">
        <f t="shared" si="71"/>
        <v>0.211848136274247</v>
      </c>
      <c r="M112" s="27">
        <f t="shared" si="71"/>
        <v>0.6629127120666395</v>
      </c>
      <c r="N112" s="27">
        <f t="shared" si="71"/>
        <v>1.2667070231434434</v>
      </c>
      <c r="O112" s="27">
        <f t="shared" si="71"/>
        <v>1.75077639010501</v>
      </c>
      <c r="P112" s="27">
        <f t="shared" si="71"/>
        <v>1.8330582624982583</v>
      </c>
      <c r="Q112" s="27">
        <f t="shared" si="71"/>
        <v>1.4646196592364176</v>
      </c>
      <c r="R112" s="27">
        <f t="shared" si="71"/>
        <v>0.8772791109783612</v>
      </c>
      <c r="S112" s="27">
        <f t="shared" si="71"/>
        <v>0.3735054123999122</v>
      </c>
      <c r="T112" s="27">
        <f t="shared" si="71"/>
        <v>0.09685119451588577</v>
      </c>
      <c r="U112" s="27">
        <f t="shared" si="71"/>
        <v>0.006742073449403863</v>
      </c>
      <c r="V112" s="27">
        <f t="shared" si="71"/>
        <v>0.005891398508943674</v>
      </c>
      <c r="W112" s="27">
        <f t="shared" si="71"/>
        <v>0.04177205871701867</v>
      </c>
      <c r="X112" s="27">
        <f t="shared" si="71"/>
        <v>0.11977829346487552</v>
      </c>
      <c r="Y112" s="27">
        <f t="shared" si="71"/>
        <v>0.26130447614160474</v>
      </c>
      <c r="Z112" s="28">
        <f>0.5*$J$4*(Z108^2+Z109^2)</f>
        <v>0.4553431618343243</v>
      </c>
    </row>
    <row r="113" spans="1:26" ht="15.75">
      <c r="A113" s="132" t="s">
        <v>68</v>
      </c>
      <c r="B113" s="33">
        <f>$K$4*(B107-$I$4)</f>
        <v>0</v>
      </c>
      <c r="C113" s="27">
        <f aca="true" t="shared" si="72" ref="C113:Z113">$K$4*(C107-$I$4)</f>
        <v>2.629966598203743</v>
      </c>
      <c r="D113" s="27">
        <f t="shared" si="72"/>
        <v>5.2603474448507175</v>
      </c>
      <c r="E113" s="27">
        <f t="shared" si="72"/>
        <v>7.763375539005534</v>
      </c>
      <c r="F113" s="27">
        <f t="shared" si="72"/>
        <v>10.041100677218914</v>
      </c>
      <c r="G113" s="27">
        <f t="shared" si="72"/>
        <v>12.01769588693023</v>
      </c>
      <c r="H113" s="27">
        <f t="shared" si="72"/>
        <v>13.628428619815992</v>
      </c>
      <c r="I113" s="27">
        <f t="shared" si="72"/>
        <v>14.807756251328222</v>
      </c>
      <c r="J113" s="27">
        <f t="shared" si="72"/>
        <v>15.478855672300023</v>
      </c>
      <c r="K113" s="27">
        <f t="shared" si="72"/>
        <v>15.548147570832334</v>
      </c>
      <c r="L113" s="27">
        <f t="shared" si="72"/>
        <v>14.911667906119122</v>
      </c>
      <c r="M113" s="27">
        <f t="shared" si="72"/>
        <v>13.483074158871482</v>
      </c>
      <c r="N113" s="27">
        <f t="shared" si="72"/>
        <v>11.24652479624362</v>
      </c>
      <c r="O113" s="27">
        <f t="shared" si="72"/>
        <v>8.312972256575321</v>
      </c>
      <c r="P113" s="27">
        <f t="shared" si="72"/>
        <v>4.935812909131992</v>
      </c>
      <c r="Q113" s="27">
        <f t="shared" si="72"/>
        <v>1.463972371621535</v>
      </c>
      <c r="R113" s="27">
        <f t="shared" si="72"/>
        <v>-1.7381033097714702</v>
      </c>
      <c r="S113" s="27">
        <f t="shared" si="72"/>
        <v>-4.359165303420925</v>
      </c>
      <c r="T113" s="27">
        <f t="shared" si="72"/>
        <v>-6.179927899013604</v>
      </c>
      <c r="U113" s="27">
        <f t="shared" si="72"/>
        <v>-7.0860360134805225</v>
      </c>
      <c r="V113" s="27">
        <f t="shared" si="72"/>
        <v>-7.064310101227441</v>
      </c>
      <c r="W113" s="27">
        <f t="shared" si="72"/>
        <v>-6.188410994665981</v>
      </c>
      <c r="X113" s="27">
        <f t="shared" si="72"/>
        <v>-4.5974395299199475</v>
      </c>
      <c r="Y113" s="27">
        <f t="shared" si="72"/>
        <v>-2.470392033361445</v>
      </c>
      <c r="Z113" s="28">
        <f t="shared" si="72"/>
        <v>0</v>
      </c>
    </row>
    <row r="114" spans="1:26" ht="15.75">
      <c r="A114" s="132" t="s">
        <v>69</v>
      </c>
      <c r="B114" s="33">
        <f>$J$4*B110</f>
        <v>0</v>
      </c>
      <c r="C114" s="27">
        <f aca="true" t="shared" si="73" ref="C114:Z114">$J$4*C110</f>
        <v>0</v>
      </c>
      <c r="D114" s="27">
        <f t="shared" si="73"/>
        <v>0</v>
      </c>
      <c r="E114" s="27">
        <f t="shared" si="73"/>
        <v>0</v>
      </c>
      <c r="F114" s="27">
        <f t="shared" si="73"/>
        <v>0</v>
      </c>
      <c r="G114" s="27">
        <f t="shared" si="73"/>
        <v>0</v>
      </c>
      <c r="H114" s="27">
        <f t="shared" si="73"/>
        <v>0</v>
      </c>
      <c r="I114" s="27">
        <f t="shared" si="73"/>
        <v>0</v>
      </c>
      <c r="J114" s="27">
        <f t="shared" si="73"/>
        <v>0</v>
      </c>
      <c r="K114" s="27">
        <f t="shared" si="73"/>
        <v>0</v>
      </c>
      <c r="L114" s="27">
        <f t="shared" si="73"/>
        <v>0</v>
      </c>
      <c r="M114" s="27">
        <f t="shared" si="73"/>
        <v>0</v>
      </c>
      <c r="N114" s="27">
        <f t="shared" si="73"/>
        <v>0</v>
      </c>
      <c r="O114" s="27">
        <f t="shared" si="73"/>
        <v>0</v>
      </c>
      <c r="P114" s="27">
        <f t="shared" si="73"/>
        <v>0</v>
      </c>
      <c r="Q114" s="27">
        <f t="shared" si="73"/>
        <v>0</v>
      </c>
      <c r="R114" s="27">
        <f t="shared" si="73"/>
        <v>0</v>
      </c>
      <c r="S114" s="27">
        <f t="shared" si="73"/>
        <v>0</v>
      </c>
      <c r="T114" s="27">
        <f t="shared" si="73"/>
        <v>0</v>
      </c>
      <c r="U114" s="27">
        <f t="shared" si="73"/>
        <v>0</v>
      </c>
      <c r="V114" s="27">
        <f t="shared" si="73"/>
        <v>0</v>
      </c>
      <c r="W114" s="27">
        <f t="shared" si="73"/>
        <v>0</v>
      </c>
      <c r="X114" s="27">
        <f t="shared" si="73"/>
        <v>0</v>
      </c>
      <c r="Y114" s="27">
        <f t="shared" si="73"/>
        <v>0</v>
      </c>
      <c r="Z114" s="28">
        <f t="shared" si="73"/>
        <v>0</v>
      </c>
    </row>
    <row r="115" spans="1:26" ht="15.75">
      <c r="A115" s="132" t="s">
        <v>70</v>
      </c>
      <c r="B115" s="33">
        <f>$J$4*B111</f>
        <v>0.2341291885297351</v>
      </c>
      <c r="C115" s="27">
        <f>$J$4*C111</f>
        <v>0.5828665667488113</v>
      </c>
      <c r="D115" s="27">
        <f aca="true" t="shared" si="74" ref="D115:Z115">$J$4*D111</f>
        <v>0.35155373527602196</v>
      </c>
      <c r="E115" s="27">
        <f t="shared" si="74"/>
        <v>-0.031769730130094764</v>
      </c>
      <c r="F115" s="27">
        <f t="shared" si="74"/>
        <v>-0.47369702423634713</v>
      </c>
      <c r="G115" s="27">
        <f t="shared" si="74"/>
        <v>-0.9335970660177031</v>
      </c>
      <c r="H115" s="27">
        <f t="shared" si="74"/>
        <v>-1.4029527707147422</v>
      </c>
      <c r="I115" s="27">
        <f t="shared" si="74"/>
        <v>-1.8888016236832037</v>
      </c>
      <c r="J115" s="27">
        <f t="shared" si="74"/>
        <v>-2.386583039065375</v>
      </c>
      <c r="K115" s="27">
        <f t="shared" si="74"/>
        <v>-2.8413498780491424</v>
      </c>
      <c r="L115" s="27">
        <f t="shared" si="74"/>
        <v>-3.106536256325787</v>
      </c>
      <c r="M115" s="27">
        <f t="shared" si="74"/>
        <v>-2.9500647532979403</v>
      </c>
      <c r="N115" s="27">
        <f t="shared" si="74"/>
        <v>-2.1848086026140323</v>
      </c>
      <c r="O115" s="27">
        <f t="shared" si="74"/>
        <v>-0.8816328864839891</v>
      </c>
      <c r="P115" s="27">
        <f t="shared" si="74"/>
        <v>0.5625913283452499</v>
      </c>
      <c r="Q115" s="27">
        <f t="shared" si="74"/>
        <v>1.6263431570076123</v>
      </c>
      <c r="R115" s="27">
        <f t="shared" si="74"/>
        <v>1.9872249960891077</v>
      </c>
      <c r="S115" s="27">
        <f t="shared" si="74"/>
        <v>1.7148785546912588</v>
      </c>
      <c r="T115" s="27">
        <f t="shared" si="74"/>
        <v>1.1643605636329366</v>
      </c>
      <c r="U115" s="27">
        <f t="shared" si="74"/>
        <v>0.6875701354986087</v>
      </c>
      <c r="V115" s="27">
        <f t="shared" si="74"/>
        <v>0.45174255631314064</v>
      </c>
      <c r="W115" s="27">
        <f t="shared" si="74"/>
        <v>0.4543220712472173</v>
      </c>
      <c r="X115" s="27">
        <f t="shared" si="74"/>
        <v>0.5994700446557802</v>
      </c>
      <c r="Y115" s="27">
        <f t="shared" si="74"/>
        <v>0.7476417081381911</v>
      </c>
      <c r="Z115" s="28">
        <f t="shared" si="74"/>
        <v>0.7749697228003817</v>
      </c>
    </row>
    <row r="116" spans="1:26" ht="15.75">
      <c r="A116" s="132" t="s">
        <v>71</v>
      </c>
      <c r="B116" s="33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8">
        <v>0</v>
      </c>
    </row>
    <row r="117" spans="1:26" ht="15.75">
      <c r="A117" s="132" t="s">
        <v>72</v>
      </c>
      <c r="B117" s="33">
        <f>$K$4*B109</f>
        <v>9.851571312259859</v>
      </c>
      <c r="C117" s="27">
        <f aca="true" t="shared" si="75" ref="C117:Z117">$K$4*C109</f>
        <v>10.13814271210935</v>
      </c>
      <c r="D117" s="27">
        <f t="shared" si="75"/>
        <v>11.34195490989443</v>
      </c>
      <c r="E117" s="27">
        <f t="shared" si="75"/>
        <v>11.809910118607784</v>
      </c>
      <c r="F117" s="27">
        <f t="shared" si="75"/>
        <v>11.439112243402011</v>
      </c>
      <c r="G117" s="27">
        <f t="shared" si="75"/>
        <v>10.280900672044872</v>
      </c>
      <c r="H117" s="27">
        <f t="shared" si="75"/>
        <v>8.387607728025298</v>
      </c>
      <c r="I117" s="27">
        <f t="shared" si="75"/>
        <v>5.774160976626124</v>
      </c>
      <c r="J117" s="27">
        <f t="shared" si="75"/>
        <v>2.4211457695401055</v>
      </c>
      <c r="K117" s="27">
        <f t="shared" si="75"/>
        <v>-1.6744159965991487</v>
      </c>
      <c r="L117" s="27">
        <f t="shared" si="75"/>
        <v>-6.3855208757472655</v>
      </c>
      <c r="M117" s="27">
        <f t="shared" si="75"/>
        <v>-11.295674751843409</v>
      </c>
      <c r="N117" s="27">
        <f t="shared" si="75"/>
        <v>-15.614284725848618</v>
      </c>
      <c r="O117" s="27">
        <f t="shared" si="75"/>
        <v>-18.356900160745266</v>
      </c>
      <c r="P117" s="27">
        <f t="shared" si="75"/>
        <v>-18.783310584431522</v>
      </c>
      <c r="Q117" s="27">
        <f t="shared" si="75"/>
        <v>-16.789835257574257</v>
      </c>
      <c r="R117" s="27">
        <f t="shared" si="75"/>
        <v>-12.99430030836787</v>
      </c>
      <c r="S117" s="27">
        <f t="shared" si="75"/>
        <v>-8.478762199550026</v>
      </c>
      <c r="T117" s="27">
        <f t="shared" si="75"/>
        <v>-4.317541254128381</v>
      </c>
      <c r="U117" s="27">
        <f t="shared" si="75"/>
        <v>-1.1391495553123612</v>
      </c>
      <c r="V117" s="27">
        <f t="shared" si="75"/>
        <v>1.064861696227782</v>
      </c>
      <c r="W117" s="27">
        <f t="shared" si="75"/>
        <v>2.8354823293037397</v>
      </c>
      <c r="X117" s="27">
        <f t="shared" si="75"/>
        <v>4.8014572429034725</v>
      </c>
      <c r="Y117" s="27">
        <f t="shared" si="75"/>
        <v>7.091815521629294</v>
      </c>
      <c r="Z117" s="28">
        <f t="shared" si="75"/>
        <v>9.36167186528178</v>
      </c>
    </row>
    <row r="118" spans="1:26" ht="16.5" thickBot="1">
      <c r="A118" s="133" t="s">
        <v>66</v>
      </c>
      <c r="B118" s="34">
        <f>B115*B109</f>
        <v>0.23512134526831993</v>
      </c>
      <c r="C118" s="29">
        <f aca="true" t="shared" si="76" ref="C118:Z118">C115*C109</f>
        <v>0.6023633471780488</v>
      </c>
      <c r="D118" s="29">
        <f t="shared" si="76"/>
        <v>0.40645327358874656</v>
      </c>
      <c r="E118" s="29">
        <f t="shared" si="76"/>
        <v>-0.03824644824962739</v>
      </c>
      <c r="F118" s="29">
        <f t="shared" si="76"/>
        <v>-0.5523622252400712</v>
      </c>
      <c r="G118" s="29">
        <f t="shared" si="76"/>
        <v>-0.9784116925015826</v>
      </c>
      <c r="H118" s="29">
        <f t="shared" si="76"/>
        <v>-1.19953287479118</v>
      </c>
      <c r="I118" s="29">
        <f t="shared" si="76"/>
        <v>-1.111747668507606</v>
      </c>
      <c r="J118" s="29">
        <f t="shared" si="76"/>
        <v>-0.5890178826390724</v>
      </c>
      <c r="K118" s="29">
        <f t="shared" si="76"/>
        <v>0.4849746878430708</v>
      </c>
      <c r="L118" s="29">
        <f t="shared" si="76"/>
        <v>2.0221052106049</v>
      </c>
      <c r="M118" s="29">
        <f t="shared" si="76"/>
        <v>3.3968370999113864</v>
      </c>
      <c r="N118" s="29">
        <f t="shared" si="76"/>
        <v>3.477494759704276</v>
      </c>
      <c r="O118" s="29">
        <f t="shared" si="76"/>
        <v>1.6497499363523191</v>
      </c>
      <c r="P118" s="29">
        <f t="shared" si="76"/>
        <v>-1.0771995568212767</v>
      </c>
      <c r="Q118" s="29">
        <f t="shared" si="76"/>
        <v>-2.7834896716045905</v>
      </c>
      <c r="R118" s="29">
        <f t="shared" si="76"/>
        <v>-2.6322730254308904</v>
      </c>
      <c r="S118" s="29">
        <f t="shared" si="76"/>
        <v>-1.4821658987089934</v>
      </c>
      <c r="T118" s="29">
        <f t="shared" si="76"/>
        <v>-0.5124541048078876</v>
      </c>
      <c r="U118" s="29">
        <f t="shared" si="76"/>
        <v>-0.07984151010186545</v>
      </c>
      <c r="V118" s="29">
        <f t="shared" si="76"/>
        <v>0.049036018835258426</v>
      </c>
      <c r="W118" s="29">
        <f t="shared" si="76"/>
        <v>0.13131724819920074</v>
      </c>
      <c r="X118" s="29">
        <f t="shared" si="76"/>
        <v>0.29340772556739697</v>
      </c>
      <c r="Y118" s="29">
        <f t="shared" si="76"/>
        <v>0.5404828817932581</v>
      </c>
      <c r="Z118" s="30">
        <f t="shared" si="76"/>
        <v>0.7395527268486801</v>
      </c>
    </row>
    <row r="119" spans="2:26" ht="16.5" thickBot="1"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6.5" thickBot="1">
      <c r="A120" s="130" t="s">
        <v>136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>
      <c r="A121" s="131" t="s">
        <v>20</v>
      </c>
      <c r="B121" s="32">
        <f aca="true" t="shared" si="77" ref="B121:Z121">B47+($H$5-$E$4)*COS(B62)-($I$5-$F$4)*SIN(B62)</f>
        <v>2.570162921690314</v>
      </c>
      <c r="C121" s="25">
        <f t="shared" si="77"/>
        <v>2.6013704648457763</v>
      </c>
      <c r="D121" s="25">
        <f t="shared" si="77"/>
        <v>2.636106169308943</v>
      </c>
      <c r="E121" s="25">
        <f t="shared" si="77"/>
        <v>2.672990307448782</v>
      </c>
      <c r="F121" s="25">
        <f t="shared" si="77"/>
        <v>2.710353189996575</v>
      </c>
      <c r="G121" s="25">
        <f t="shared" si="77"/>
        <v>2.746183349322011</v>
      </c>
      <c r="H121" s="25">
        <f t="shared" si="77"/>
        <v>2.7780605699876717</v>
      </c>
      <c r="I121" s="25">
        <f t="shared" si="77"/>
        <v>2.803108615112496</v>
      </c>
      <c r="J121" s="25">
        <f t="shared" si="77"/>
        <v>2.818063792028185</v>
      </c>
      <c r="K121" s="25">
        <f t="shared" si="77"/>
        <v>2.8196383246383347</v>
      </c>
      <c r="L121" s="25">
        <f t="shared" si="77"/>
        <v>2.8053898834830253</v>
      </c>
      <c r="M121" s="25">
        <f t="shared" si="77"/>
        <v>2.775076882766523</v>
      </c>
      <c r="N121" s="25">
        <f t="shared" si="77"/>
        <v>2.7317969558470088</v>
      </c>
      <c r="O121" s="25">
        <f t="shared" si="77"/>
        <v>2.6816520740653367</v>
      </c>
      <c r="P121" s="25">
        <f t="shared" si="77"/>
        <v>2.6316104517194954</v>
      </c>
      <c r="Q121" s="25">
        <f t="shared" si="77"/>
        <v>2.5871319497905443</v>
      </c>
      <c r="R121" s="25">
        <f t="shared" si="77"/>
        <v>2.5512242972217765</v>
      </c>
      <c r="S121" s="25">
        <f t="shared" si="77"/>
        <v>2.5248915238804344</v>
      </c>
      <c r="T121" s="25">
        <f t="shared" si="77"/>
        <v>2.5080093380264237</v>
      </c>
      <c r="U121" s="25">
        <f t="shared" si="77"/>
        <v>2.5000000000000004</v>
      </c>
      <c r="V121" s="25">
        <f t="shared" si="77"/>
        <v>2.50018913088398</v>
      </c>
      <c r="W121" s="25">
        <f t="shared" si="77"/>
        <v>2.5079331829218887</v>
      </c>
      <c r="X121" s="25">
        <f t="shared" si="77"/>
        <v>2.5226197781923885</v>
      </c>
      <c r="Y121" s="25">
        <f t="shared" si="77"/>
        <v>2.543609816143661</v>
      </c>
      <c r="Z121" s="26">
        <f t="shared" si="77"/>
        <v>2.570162921690314</v>
      </c>
    </row>
    <row r="122" spans="1:26" ht="15.75">
      <c r="A122" s="132" t="s">
        <v>21</v>
      </c>
      <c r="B122" s="33">
        <f aca="true" t="shared" si="78" ref="B122:Z122">B48+($H$5-$E$4)*SIN(B62)+($I$5-$F$4)*COS(B62)</f>
        <v>-1.1314281154291654</v>
      </c>
      <c r="C122" s="27">
        <f t="shared" si="78"/>
        <v>-0.8698108921914591</v>
      </c>
      <c r="D122" s="27">
        <f t="shared" si="78"/>
        <v>-0.6093078665626597</v>
      </c>
      <c r="E122" s="27">
        <f t="shared" si="78"/>
        <v>-0.36275229987064206</v>
      </c>
      <c r="F122" s="27">
        <f t="shared" si="78"/>
        <v>-0.1397980522401463</v>
      </c>
      <c r="G122" s="27">
        <f t="shared" si="78"/>
        <v>0.052339263211329534</v>
      </c>
      <c r="H122" s="27">
        <f t="shared" si="78"/>
        <v>0.20779830928045095</v>
      </c>
      <c r="I122" s="27">
        <f t="shared" si="78"/>
        <v>0.32087572184497803</v>
      </c>
      <c r="J122" s="27">
        <f t="shared" si="78"/>
        <v>0.384905819099711</v>
      </c>
      <c r="K122" s="27">
        <f t="shared" si="78"/>
        <v>0.39150300135812977</v>
      </c>
      <c r="L122" s="27">
        <f t="shared" si="78"/>
        <v>0.33080574055552914</v>
      </c>
      <c r="M122" s="27">
        <f t="shared" si="78"/>
        <v>0.19381550829090566</v>
      </c>
      <c r="N122" s="27">
        <f t="shared" si="78"/>
        <v>-0.022458025129162618</v>
      </c>
      <c r="O122" s="27">
        <f t="shared" si="78"/>
        <v>-0.3088208268319885</v>
      </c>
      <c r="P122" s="27">
        <f t="shared" si="78"/>
        <v>-0.6413770893214261</v>
      </c>
      <c r="Q122" s="27">
        <f t="shared" si="78"/>
        <v>-0.9856705969718367</v>
      </c>
      <c r="R122" s="27">
        <f t="shared" si="78"/>
        <v>-1.3048514447660384</v>
      </c>
      <c r="S122" s="27">
        <f t="shared" si="78"/>
        <v>-1.5670337661325444</v>
      </c>
      <c r="T122" s="27">
        <f t="shared" si="78"/>
        <v>-1.7495638225134216</v>
      </c>
      <c r="U122" s="27">
        <f t="shared" si="78"/>
        <v>-1.8405080933368616</v>
      </c>
      <c r="V122" s="27">
        <f t="shared" si="78"/>
        <v>-1.838326721608833</v>
      </c>
      <c r="W122" s="27">
        <f t="shared" si="78"/>
        <v>-1.7504149364422203</v>
      </c>
      <c r="X122" s="27">
        <f t="shared" si="78"/>
        <v>-1.5909031626679915</v>
      </c>
      <c r="Y122" s="27">
        <f t="shared" si="78"/>
        <v>-1.3780266269521415</v>
      </c>
      <c r="Z122" s="28">
        <f t="shared" si="78"/>
        <v>-1.1314281154291654</v>
      </c>
    </row>
    <row r="123" spans="1:26" ht="15.75">
      <c r="A123" s="132" t="s">
        <v>22</v>
      </c>
      <c r="B123" s="33">
        <f>B49-B58*(B122-B48)</f>
        <v>0.11095731130526619</v>
      </c>
      <c r="C123" s="27">
        <f aca="true" t="shared" si="79" ref="C123:Z123">C49-C58*(C122-C48)</f>
        <v>0.1267358807951917</v>
      </c>
      <c r="D123" s="27">
        <f t="shared" si="79"/>
        <v>0.15820779270171112</v>
      </c>
      <c r="E123" s="27">
        <f t="shared" si="79"/>
        <v>0.1838298402304398</v>
      </c>
      <c r="F123" s="27">
        <f t="shared" si="79"/>
        <v>0.19772481508833992</v>
      </c>
      <c r="G123" s="27">
        <f t="shared" si="79"/>
        <v>0.19542822780227873</v>
      </c>
      <c r="H123" s="27">
        <f t="shared" si="79"/>
        <v>0.17280898582550377</v>
      </c>
      <c r="I123" s="27">
        <f t="shared" si="79"/>
        <v>0.12642151043338407</v>
      </c>
      <c r="J123" s="27">
        <f t="shared" si="79"/>
        <v>0.05491508005581927</v>
      </c>
      <c r="K123" s="27">
        <f t="shared" si="79"/>
        <v>-0.038118078979820655</v>
      </c>
      <c r="L123" s="27">
        <f t="shared" si="79"/>
        <v>-0.14056860153223932</v>
      </c>
      <c r="M123" s="27">
        <f t="shared" si="79"/>
        <v>-0.23101148239173014</v>
      </c>
      <c r="N123" s="27">
        <f t="shared" si="79"/>
        <v>-0.28586590858159794</v>
      </c>
      <c r="O123" s="27">
        <f t="shared" si="79"/>
        <v>-0.29292233702662723</v>
      </c>
      <c r="P123" s="27">
        <f t="shared" si="79"/>
        <v>-0.2584091105972968</v>
      </c>
      <c r="Q123" s="27">
        <f t="shared" si="79"/>
        <v>-0.20027936045205944</v>
      </c>
      <c r="R123" s="27">
        <f t="shared" si="79"/>
        <v>-0.13697403537146155</v>
      </c>
      <c r="S123" s="27">
        <f t="shared" si="79"/>
        <v>-0.08118328629426877</v>
      </c>
      <c r="T123" s="27">
        <f t="shared" si="79"/>
        <v>-0.03876548463786049</v>
      </c>
      <c r="U123" s="27">
        <f t="shared" si="79"/>
        <v>-0.009912962775149949</v>
      </c>
      <c r="V123" s="27">
        <f t="shared" si="79"/>
        <v>0.009273407334729398</v>
      </c>
      <c r="W123" s="27">
        <f t="shared" si="79"/>
        <v>0.02545115713734747</v>
      </c>
      <c r="X123" s="27">
        <f t="shared" si="79"/>
        <v>0.04558311913956122</v>
      </c>
      <c r="Y123" s="27">
        <f t="shared" si="79"/>
        <v>0.07274219632639443</v>
      </c>
      <c r="Z123" s="28">
        <f t="shared" si="79"/>
        <v>0.10543962039853953</v>
      </c>
    </row>
    <row r="124" spans="1:26" ht="15.75">
      <c r="A124" s="132" t="s">
        <v>23</v>
      </c>
      <c r="B124" s="33">
        <f aca="true" t="shared" si="80" ref="B124:Z124">B50+B58*(B121-B47)</f>
        <v>0.9818613035482038</v>
      </c>
      <c r="C124" s="27">
        <f t="shared" si="80"/>
        <v>1.0064306868511546</v>
      </c>
      <c r="D124" s="27">
        <f t="shared" si="80"/>
        <v>1.1203889154873934</v>
      </c>
      <c r="E124" s="27">
        <f t="shared" si="80"/>
        <v>1.159752135224515</v>
      </c>
      <c r="F124" s="27">
        <f t="shared" si="80"/>
        <v>1.1158204270536163</v>
      </c>
      <c r="G124" s="27">
        <f t="shared" si="80"/>
        <v>0.9956596007910983</v>
      </c>
      <c r="H124" s="27">
        <f t="shared" si="80"/>
        <v>0.8065925471173871</v>
      </c>
      <c r="I124" s="27">
        <f t="shared" si="80"/>
        <v>0.5519474242839336</v>
      </c>
      <c r="J124" s="27">
        <f t="shared" si="80"/>
        <v>0.23056074175601446</v>
      </c>
      <c r="K124" s="27">
        <f t="shared" si="80"/>
        <v>-0.15938621032417133</v>
      </c>
      <c r="L124" s="27">
        <f t="shared" si="80"/>
        <v>-0.6100404399651015</v>
      </c>
      <c r="M124" s="27">
        <f t="shared" si="80"/>
        <v>-1.0869934003412964</v>
      </c>
      <c r="N124" s="27">
        <f t="shared" si="80"/>
        <v>-1.5166841386046994</v>
      </c>
      <c r="O124" s="27">
        <f t="shared" si="80"/>
        <v>-1.7999953762522967</v>
      </c>
      <c r="P124" s="27">
        <f t="shared" si="80"/>
        <v>-1.8567133954983923</v>
      </c>
      <c r="Q124" s="27">
        <f t="shared" si="80"/>
        <v>-1.6698592320001706</v>
      </c>
      <c r="R124" s="27">
        <f t="shared" si="80"/>
        <v>-1.2979272808737095</v>
      </c>
      <c r="S124" s="27">
        <f t="shared" si="80"/>
        <v>-0.8492724180068777</v>
      </c>
      <c r="T124" s="27">
        <f t="shared" si="80"/>
        <v>-0.433179869618689</v>
      </c>
      <c r="U124" s="27">
        <f t="shared" si="80"/>
        <v>-0.11437633171401847</v>
      </c>
      <c r="V124" s="27">
        <f t="shared" si="80"/>
        <v>0.106915606190111</v>
      </c>
      <c r="W124" s="27">
        <f t="shared" si="80"/>
        <v>0.2844866180580253</v>
      </c>
      <c r="X124" s="27">
        <f t="shared" si="80"/>
        <v>0.4810463819743476</v>
      </c>
      <c r="Y124" s="27">
        <f t="shared" si="80"/>
        <v>0.7089563133590694</v>
      </c>
      <c r="Z124" s="28">
        <f t="shared" si="80"/>
        <v>0.933035253939362</v>
      </c>
    </row>
    <row r="125" spans="1:26" ht="15.75">
      <c r="A125" s="132" t="s">
        <v>24</v>
      </c>
      <c r="B125" s="33">
        <f aca="true" t="shared" si="81" ref="B125:Z125">B51-B60*(B122-B48)-(B58^2)*(B121-B47)</f>
        <v>0.026678256346827946</v>
      </c>
      <c r="C125" s="27">
        <f t="shared" si="81"/>
        <v>0.07258754001222215</v>
      </c>
      <c r="D125" s="27">
        <f t="shared" si="81"/>
        <v>-0.016382861193099726</v>
      </c>
      <c r="E125" s="27">
        <f t="shared" si="81"/>
        <v>-0.1216585357673047</v>
      </c>
      <c r="F125" s="27">
        <f t="shared" si="81"/>
        <v>-0.20387624274250915</v>
      </c>
      <c r="G125" s="27">
        <f t="shared" si="81"/>
        <v>-0.2513641662612022</v>
      </c>
      <c r="H125" s="27">
        <f t="shared" si="81"/>
        <v>-0.27433460212763894</v>
      </c>
      <c r="I125" s="27">
        <f t="shared" si="81"/>
        <v>-0.29156337795654774</v>
      </c>
      <c r="J125" s="27">
        <f t="shared" si="81"/>
        <v>-0.3128199765183547</v>
      </c>
      <c r="K125" s="27">
        <f t="shared" si="81"/>
        <v>-0.3241698887651205</v>
      </c>
      <c r="L125" s="27">
        <f t="shared" si="81"/>
        <v>-0.28603152313820984</v>
      </c>
      <c r="M125" s="27">
        <f t="shared" si="81"/>
        <v>-0.1587056311566215</v>
      </c>
      <c r="N125" s="27">
        <f t="shared" si="81"/>
        <v>0.04743239908886385</v>
      </c>
      <c r="O125" s="27">
        <f t="shared" si="81"/>
        <v>0.25156428908958484</v>
      </c>
      <c r="P125" s="27">
        <f t="shared" si="81"/>
        <v>0.35968052384728566</v>
      </c>
      <c r="Q125" s="27">
        <f t="shared" si="81"/>
        <v>0.3430415941249749</v>
      </c>
      <c r="R125" s="27">
        <f t="shared" si="81"/>
        <v>0.2520245403710963</v>
      </c>
      <c r="S125" s="27">
        <f t="shared" si="81"/>
        <v>0.15997878078391367</v>
      </c>
      <c r="T125" s="27">
        <f t="shared" si="81"/>
        <v>0.10370881572650963</v>
      </c>
      <c r="U125" s="27">
        <f t="shared" si="81"/>
        <v>0.07969364658128038</v>
      </c>
      <c r="V125" s="27">
        <f t="shared" si="81"/>
        <v>0.0766688233398954</v>
      </c>
      <c r="W125" s="27">
        <f t="shared" si="81"/>
        <v>0.09211659527325358</v>
      </c>
      <c r="X125" s="27">
        <f t="shared" si="81"/>
        <v>0.1200337630457271</v>
      </c>
      <c r="Y125" s="27">
        <f t="shared" si="81"/>
        <v>0.1351418657888585</v>
      </c>
      <c r="Z125" s="28">
        <f t="shared" si="81"/>
        <v>0.10665615892674432</v>
      </c>
    </row>
    <row r="126" spans="1:26" ht="15.75">
      <c r="A126" s="132" t="s">
        <v>25</v>
      </c>
      <c r="B126" s="33">
        <f aca="true" t="shared" si="82" ref="B126:Z126">B52+B60*(B121-B47)-(B58^2)*(B122-B48)</f>
        <v>0.2242174096870522</v>
      </c>
      <c r="C126" s="27">
        <f t="shared" si="82"/>
        <v>0.5614384980140351</v>
      </c>
      <c r="D126" s="27">
        <f t="shared" si="82"/>
        <v>0.30793363717109173</v>
      </c>
      <c r="E126" s="27">
        <f t="shared" si="82"/>
        <v>-0.09409721769293598</v>
      </c>
      <c r="F126" s="27">
        <f t="shared" si="82"/>
        <v>-0.5335233249545606</v>
      </c>
      <c r="G126" s="27">
        <f t="shared" si="82"/>
        <v>-0.9519000036479877</v>
      </c>
      <c r="H126" s="27">
        <f t="shared" si="82"/>
        <v>-1.3310067943323296</v>
      </c>
      <c r="I126" s="27">
        <f t="shared" si="82"/>
        <v>-1.6844429162014622</v>
      </c>
      <c r="J126" s="27">
        <f t="shared" si="82"/>
        <v>-2.0350498155716226</v>
      </c>
      <c r="K126" s="27">
        <f t="shared" si="82"/>
        <v>-2.3728677031637817</v>
      </c>
      <c r="L126" s="27">
        <f t="shared" si="82"/>
        <v>-2.598300156435608</v>
      </c>
      <c r="M126" s="27">
        <f t="shared" si="82"/>
        <v>-2.5008180278110026</v>
      </c>
      <c r="N126" s="27">
        <f t="shared" si="82"/>
        <v>-1.8682331872816254</v>
      </c>
      <c r="O126" s="27">
        <f t="shared" si="82"/>
        <v>-0.7139087285472216</v>
      </c>
      <c r="P126" s="27">
        <f t="shared" si="82"/>
        <v>0.613971570810814</v>
      </c>
      <c r="Q126" s="27">
        <f t="shared" si="82"/>
        <v>1.6115436652104573</v>
      </c>
      <c r="R126" s="27">
        <f t="shared" si="82"/>
        <v>1.9500991032814572</v>
      </c>
      <c r="S126" s="27">
        <f t="shared" si="82"/>
        <v>1.6823019517890416</v>
      </c>
      <c r="T126" s="27">
        <f t="shared" si="82"/>
        <v>1.1456318705337847</v>
      </c>
      <c r="U126" s="27">
        <f t="shared" si="82"/>
        <v>0.6806809745092393</v>
      </c>
      <c r="V126" s="27">
        <f t="shared" si="82"/>
        <v>0.45123172713313897</v>
      </c>
      <c r="W126" s="27">
        <f t="shared" si="82"/>
        <v>0.45595195232384556</v>
      </c>
      <c r="X126" s="27">
        <f t="shared" si="82"/>
        <v>0.6004697472847715</v>
      </c>
      <c r="Y126" s="27">
        <f t="shared" si="82"/>
        <v>0.743805158888313</v>
      </c>
      <c r="Z126" s="28">
        <f t="shared" si="82"/>
        <v>0.7584230944749614</v>
      </c>
    </row>
    <row r="127" spans="1:26" ht="15.75">
      <c r="A127" s="132" t="s">
        <v>67</v>
      </c>
      <c r="B127" s="33">
        <f>0.5*$J$5*(B123^2+B124^2)+0.5*$L$5*B58^2</f>
        <v>0.6857645178363259</v>
      </c>
      <c r="C127" s="27">
        <f aca="true" t="shared" si="83" ref="C127:Z127">0.5*$J$5*(C123^2+C124^2)+0.5*$L$5*C58^2</f>
        <v>0.723303255455318</v>
      </c>
      <c r="D127" s="27">
        <f t="shared" si="83"/>
        <v>0.9009548747038403</v>
      </c>
      <c r="E127" s="27">
        <f t="shared" si="83"/>
        <v>0.9716174546288027</v>
      </c>
      <c r="F127" s="27">
        <f t="shared" si="83"/>
        <v>0.9064101591681364</v>
      </c>
      <c r="G127" s="27">
        <f t="shared" si="83"/>
        <v>0.7280520606407072</v>
      </c>
      <c r="H127" s="27">
        <f t="shared" si="83"/>
        <v>0.4821257083555078</v>
      </c>
      <c r="I127" s="27">
        <f t="shared" si="83"/>
        <v>0.22756405545271496</v>
      </c>
      <c r="J127" s="27">
        <f t="shared" si="83"/>
        <v>0.03991310959116622</v>
      </c>
      <c r="K127" s="27">
        <f t="shared" si="83"/>
        <v>0.01908488971223168</v>
      </c>
      <c r="L127" s="27">
        <f t="shared" si="83"/>
        <v>0.27820060825020065</v>
      </c>
      <c r="M127" s="27">
        <f t="shared" si="83"/>
        <v>0.8748168045217106</v>
      </c>
      <c r="N127" s="27">
        <f t="shared" si="83"/>
        <v>1.6831847272667388</v>
      </c>
      <c r="O127" s="27">
        <f t="shared" si="83"/>
        <v>2.344438358033185</v>
      </c>
      <c r="P127" s="27">
        <f t="shared" si="83"/>
        <v>2.4725594736470997</v>
      </c>
      <c r="Q127" s="27">
        <f t="shared" si="83"/>
        <v>1.9875248882825531</v>
      </c>
      <c r="R127" s="27">
        <f t="shared" si="83"/>
        <v>1.1958754076174636</v>
      </c>
      <c r="S127" s="27">
        <f t="shared" si="83"/>
        <v>0.5107272143903918</v>
      </c>
      <c r="T127" s="27">
        <f t="shared" si="83"/>
        <v>0.13268294974479838</v>
      </c>
      <c r="U127" s="27">
        <f t="shared" si="83"/>
        <v>0.0092444170981887</v>
      </c>
      <c r="V127" s="27">
        <f t="shared" si="83"/>
        <v>0.008077847827325882</v>
      </c>
      <c r="W127" s="27">
        <f t="shared" si="83"/>
        <v>0.057226821876579057</v>
      </c>
      <c r="X127" s="27">
        <f t="shared" si="83"/>
        <v>0.16382580476521297</v>
      </c>
      <c r="Y127" s="27">
        <f t="shared" si="83"/>
        <v>0.356526638450589</v>
      </c>
      <c r="Z127" s="28">
        <f t="shared" si="83"/>
        <v>0.6192568638784136</v>
      </c>
    </row>
    <row r="128" spans="1:26" ht="15.75">
      <c r="A128" s="132" t="s">
        <v>68</v>
      </c>
      <c r="B128" s="33">
        <f>$K$5*(B122-$I$5)</f>
        <v>0</v>
      </c>
      <c r="C128" s="27">
        <f aca="true" t="shared" si="84" ref="C128:Z128">$K$5*(C122-$I$5)</f>
        <v>3.5930509439466585</v>
      </c>
      <c r="D128" s="27">
        <f t="shared" si="84"/>
        <v>7.17079949793259</v>
      </c>
      <c r="E128" s="27">
        <f t="shared" si="84"/>
        <v>10.55699365088076</v>
      </c>
      <c r="F128" s="27">
        <f t="shared" si="84"/>
        <v>13.619047287837988</v>
      </c>
      <c r="G128" s="27">
        <f t="shared" si="84"/>
        <v>16.257861178248557</v>
      </c>
      <c r="H128" s="27">
        <f t="shared" si="84"/>
        <v>18.392935716961873</v>
      </c>
      <c r="I128" s="27">
        <f t="shared" si="84"/>
        <v>19.945940901123087</v>
      </c>
      <c r="J128" s="27">
        <f t="shared" si="84"/>
        <v>20.82533025681959</v>
      </c>
      <c r="K128" s="27">
        <f t="shared" si="84"/>
        <v>20.915935957956712</v>
      </c>
      <c r="L128" s="27">
        <f t="shared" si="84"/>
        <v>20.082319778093794</v>
      </c>
      <c r="M128" s="27">
        <f t="shared" si="84"/>
        <v>18.200895928171455</v>
      </c>
      <c r="N128" s="27">
        <f t="shared" si="84"/>
        <v>15.23059522018024</v>
      </c>
      <c r="O128" s="27">
        <f t="shared" si="84"/>
        <v>11.297688501593628</v>
      </c>
      <c r="P128" s="27">
        <f t="shared" si="84"/>
        <v>6.730360792563692</v>
      </c>
      <c r="Q128" s="27">
        <f t="shared" si="84"/>
        <v>2.0018337584929533</v>
      </c>
      <c r="R128" s="27">
        <f t="shared" si="84"/>
        <v>-2.3817960051126135</v>
      </c>
      <c r="S128" s="27">
        <f t="shared" si="84"/>
        <v>-5.9826080067602065</v>
      </c>
      <c r="T128" s="27">
        <f t="shared" si="84"/>
        <v>-8.489475801095173</v>
      </c>
      <c r="U128" s="27">
        <f t="shared" si="84"/>
        <v>-9.738504416584298</v>
      </c>
      <c r="V128" s="27">
        <f t="shared" si="84"/>
        <v>-9.708545457271555</v>
      </c>
      <c r="W128" s="27">
        <f t="shared" si="84"/>
        <v>-8.501164999793296</v>
      </c>
      <c r="X128" s="27">
        <f t="shared" si="84"/>
        <v>-6.310430298778037</v>
      </c>
      <c r="Y128" s="27">
        <f t="shared" si="84"/>
        <v>-3.3867839572565535</v>
      </c>
      <c r="Z128" s="28">
        <f t="shared" si="84"/>
        <v>0</v>
      </c>
    </row>
    <row r="129" spans="1:26" ht="15.75">
      <c r="A129" s="132" t="s">
        <v>69</v>
      </c>
      <c r="B129" s="33">
        <f>$J$5*B125</f>
        <v>0.037349558885559124</v>
      </c>
      <c r="C129" s="27">
        <f aca="true" t="shared" si="85" ref="C129:Z129">$J$5*C125</f>
        <v>0.101622556017111</v>
      </c>
      <c r="D129" s="27">
        <f t="shared" si="85"/>
        <v>-0.022936005670339616</v>
      </c>
      <c r="E129" s="27">
        <f t="shared" si="85"/>
        <v>-0.17032195007422657</v>
      </c>
      <c r="F129" s="27">
        <f t="shared" si="85"/>
        <v>-0.2854267398395128</v>
      </c>
      <c r="G129" s="27">
        <f t="shared" si="85"/>
        <v>-0.3519098327656831</v>
      </c>
      <c r="H129" s="27">
        <f t="shared" si="85"/>
        <v>-0.38406844297869447</v>
      </c>
      <c r="I129" s="27">
        <f t="shared" si="85"/>
        <v>-0.4081887291391668</v>
      </c>
      <c r="J129" s="27">
        <f t="shared" si="85"/>
        <v>-0.43794796712569656</v>
      </c>
      <c r="K129" s="27">
        <f t="shared" si="85"/>
        <v>-0.45383784427116863</v>
      </c>
      <c r="L129" s="27">
        <f t="shared" si="85"/>
        <v>-0.40044413239349375</v>
      </c>
      <c r="M129" s="27">
        <f t="shared" si="85"/>
        <v>-0.22218788361927008</v>
      </c>
      <c r="N129" s="27">
        <f t="shared" si="85"/>
        <v>0.06640535872440938</v>
      </c>
      <c r="O129" s="27">
        <f t="shared" si="85"/>
        <v>0.3521900047254187</v>
      </c>
      <c r="P129" s="27">
        <f t="shared" si="85"/>
        <v>0.5035527333861999</v>
      </c>
      <c r="Q129" s="27">
        <f t="shared" si="85"/>
        <v>0.48025823177496485</v>
      </c>
      <c r="R129" s="27">
        <f t="shared" si="85"/>
        <v>0.35283435651953476</v>
      </c>
      <c r="S129" s="27">
        <f t="shared" si="85"/>
        <v>0.22397029309747912</v>
      </c>
      <c r="T129" s="27">
        <f t="shared" si="85"/>
        <v>0.14519234201711348</v>
      </c>
      <c r="U129" s="27">
        <f t="shared" si="85"/>
        <v>0.11157110521379252</v>
      </c>
      <c r="V129" s="27">
        <f t="shared" si="85"/>
        <v>0.10733635267585355</v>
      </c>
      <c r="W129" s="27">
        <f t="shared" si="85"/>
        <v>0.128963233382555</v>
      </c>
      <c r="X129" s="27">
        <f t="shared" si="85"/>
        <v>0.16804726826401795</v>
      </c>
      <c r="Y129" s="27">
        <f t="shared" si="85"/>
        <v>0.1891986121044019</v>
      </c>
      <c r="Z129" s="28">
        <f t="shared" si="85"/>
        <v>0.14931862249744204</v>
      </c>
    </row>
    <row r="130" spans="1:26" ht="15.75">
      <c r="A130" s="132" t="s">
        <v>70</v>
      </c>
      <c r="B130" s="33">
        <f>$J$5*B126</f>
        <v>0.31390437356187306</v>
      </c>
      <c r="C130" s="27">
        <f aca="true" t="shared" si="86" ref="C130:Z130">$J$5*C126</f>
        <v>0.7860138972196491</v>
      </c>
      <c r="D130" s="27">
        <f t="shared" si="86"/>
        <v>0.4311070920395284</v>
      </c>
      <c r="E130" s="27">
        <f t="shared" si="86"/>
        <v>-0.13173610477011036</v>
      </c>
      <c r="F130" s="27">
        <f t="shared" si="86"/>
        <v>-0.7469326549363847</v>
      </c>
      <c r="G130" s="27">
        <f t="shared" si="86"/>
        <v>-1.3326600051071826</v>
      </c>
      <c r="H130" s="27">
        <f t="shared" si="86"/>
        <v>-1.8634095120652614</v>
      </c>
      <c r="I130" s="27">
        <f t="shared" si="86"/>
        <v>-2.358220082682047</v>
      </c>
      <c r="J130" s="27">
        <f t="shared" si="86"/>
        <v>-2.8490697418002715</v>
      </c>
      <c r="K130" s="27">
        <f t="shared" si="86"/>
        <v>-3.322014784429294</v>
      </c>
      <c r="L130" s="27">
        <f t="shared" si="86"/>
        <v>-3.637620219009851</v>
      </c>
      <c r="M130" s="27">
        <f t="shared" si="86"/>
        <v>-3.501145238935403</v>
      </c>
      <c r="N130" s="27">
        <f t="shared" si="86"/>
        <v>-2.6155264621942753</v>
      </c>
      <c r="O130" s="27">
        <f t="shared" si="86"/>
        <v>-0.9994722199661102</v>
      </c>
      <c r="P130" s="27">
        <f t="shared" si="86"/>
        <v>0.8595601991351396</v>
      </c>
      <c r="Q130" s="27">
        <f t="shared" si="86"/>
        <v>2.25616113129464</v>
      </c>
      <c r="R130" s="27">
        <f t="shared" si="86"/>
        <v>2.73013874459404</v>
      </c>
      <c r="S130" s="27">
        <f t="shared" si="86"/>
        <v>2.355222732504658</v>
      </c>
      <c r="T130" s="27">
        <f t="shared" si="86"/>
        <v>1.6038846187472984</v>
      </c>
      <c r="U130" s="27">
        <f t="shared" si="86"/>
        <v>0.9529533643129349</v>
      </c>
      <c r="V130" s="27">
        <f t="shared" si="86"/>
        <v>0.6317244179863946</v>
      </c>
      <c r="W130" s="27">
        <f t="shared" si="86"/>
        <v>0.6383327332533837</v>
      </c>
      <c r="X130" s="27">
        <f t="shared" si="86"/>
        <v>0.8406576461986801</v>
      </c>
      <c r="Y130" s="27">
        <f t="shared" si="86"/>
        <v>1.041327222443638</v>
      </c>
      <c r="Z130" s="28">
        <f t="shared" si="86"/>
        <v>1.0617923322649458</v>
      </c>
    </row>
    <row r="131" spans="1:26" ht="15.75">
      <c r="A131" s="132" t="s">
        <v>71</v>
      </c>
      <c r="B131" s="33">
        <f>$L$5*B60</f>
        <v>-0.029240068456223074</v>
      </c>
      <c r="C131" s="27">
        <f aca="true" t="shared" si="87" ref="C131:Z131">$L$5*C60</f>
        <v>-0.07849031563679512</v>
      </c>
      <c r="D131" s="27">
        <f t="shared" si="87"/>
        <v>-0.16375911244271757</v>
      </c>
      <c r="E131" s="27">
        <f t="shared" si="87"/>
        <v>-0.22412527640294838</v>
      </c>
      <c r="F131" s="27">
        <f t="shared" si="87"/>
        <v>-0.1935957417299335</v>
      </c>
      <c r="G131" s="27">
        <f t="shared" si="87"/>
        <v>-0.0184709489126365</v>
      </c>
      <c r="H131" s="27">
        <f t="shared" si="87"/>
        <v>0.3188647118612109</v>
      </c>
      <c r="I131" s="27">
        <f t="shared" si="87"/>
        <v>0.784931063312135</v>
      </c>
      <c r="J131" s="27">
        <f t="shared" si="87"/>
        <v>1.293139714177182</v>
      </c>
      <c r="K131" s="27">
        <f t="shared" si="87"/>
        <v>1.7166386822451172</v>
      </c>
      <c r="L131" s="27">
        <f t="shared" si="87"/>
        <v>1.9197072424936885</v>
      </c>
      <c r="M131" s="27">
        <f t="shared" si="87"/>
        <v>1.8132000790851635</v>
      </c>
      <c r="N131" s="27">
        <f t="shared" si="87"/>
        <v>1.417883621995296</v>
      </c>
      <c r="O131" s="27">
        <f t="shared" si="87"/>
        <v>0.872914196914391</v>
      </c>
      <c r="P131" s="27">
        <f t="shared" si="87"/>
        <v>0.3567474293150349</v>
      </c>
      <c r="Q131" s="27">
        <f t="shared" si="87"/>
        <v>-0.003037687455706287</v>
      </c>
      <c r="R131" s="27">
        <f t="shared" si="87"/>
        <v>-0.16598664885491723</v>
      </c>
      <c r="S131" s="27">
        <f t="shared" si="87"/>
        <v>-0.17290808648252146</v>
      </c>
      <c r="T131" s="27">
        <f t="shared" si="87"/>
        <v>-0.10747468404354703</v>
      </c>
      <c r="U131" s="27">
        <f t="shared" si="87"/>
        <v>-0.04112739709060296</v>
      </c>
      <c r="V131" s="27">
        <f t="shared" si="87"/>
        <v>-0.00288223334332581</v>
      </c>
      <c r="W131" s="27">
        <f t="shared" si="87"/>
        <v>0.010974110910307314</v>
      </c>
      <c r="X131" s="27">
        <f t="shared" si="87"/>
        <v>0.009943651245646841</v>
      </c>
      <c r="Y131" s="27">
        <f t="shared" si="87"/>
        <v>-0.010863091827222787</v>
      </c>
      <c r="Z131" s="28">
        <f t="shared" si="87"/>
        <v>-0.06637245755664421</v>
      </c>
    </row>
    <row r="132" spans="1:26" ht="15.75">
      <c r="A132" s="132" t="s">
        <v>72</v>
      </c>
      <c r="B132" s="33">
        <f>$K$5*B124</f>
        <v>13.48488314293103</v>
      </c>
      <c r="C132" s="27">
        <f aca="true" t="shared" si="88" ref="C132:Z132">$K$5*C124</f>
        <v>13.822319053213757</v>
      </c>
      <c r="D132" s="27">
        <f t="shared" si="88"/>
        <v>15.387421365303862</v>
      </c>
      <c r="E132" s="27">
        <f t="shared" si="88"/>
        <v>15.92803582517349</v>
      </c>
      <c r="F132" s="27">
        <f t="shared" si="88"/>
        <v>15.324677745154366</v>
      </c>
      <c r="G132" s="27">
        <f t="shared" si="88"/>
        <v>13.674388957264943</v>
      </c>
      <c r="H132" s="27">
        <f t="shared" si="88"/>
        <v>11.077742042110195</v>
      </c>
      <c r="I132" s="27">
        <f t="shared" si="88"/>
        <v>7.580445925115544</v>
      </c>
      <c r="J132" s="27">
        <f t="shared" si="88"/>
        <v>3.1665212272771024</v>
      </c>
      <c r="K132" s="27">
        <f t="shared" si="88"/>
        <v>-2.189010212592169</v>
      </c>
      <c r="L132" s="27">
        <f t="shared" si="88"/>
        <v>-8.378295402480704</v>
      </c>
      <c r="M132" s="27">
        <f t="shared" si="88"/>
        <v>-14.928767360287365</v>
      </c>
      <c r="N132" s="27">
        <f t="shared" si="88"/>
        <v>-20.83013995959694</v>
      </c>
      <c r="O132" s="27">
        <f t="shared" si="88"/>
        <v>-24.72113649744904</v>
      </c>
      <c r="P132" s="27">
        <f t="shared" si="88"/>
        <v>-25.50010177377492</v>
      </c>
      <c r="Q132" s="27">
        <f t="shared" si="88"/>
        <v>-22.93384669229034</v>
      </c>
      <c r="R132" s="27">
        <f t="shared" si="88"/>
        <v>-17.825733275519525</v>
      </c>
      <c r="S132" s="27">
        <f t="shared" si="88"/>
        <v>-11.663907388906459</v>
      </c>
      <c r="T132" s="27">
        <f t="shared" si="88"/>
        <v>-5.949292329343074</v>
      </c>
      <c r="U132" s="27">
        <f t="shared" si="88"/>
        <v>-1.5708445397603297</v>
      </c>
      <c r="V132" s="27">
        <f t="shared" si="88"/>
        <v>1.4683789354149845</v>
      </c>
      <c r="W132" s="27">
        <f t="shared" si="88"/>
        <v>3.9071392124089193</v>
      </c>
      <c r="X132" s="27">
        <f t="shared" si="88"/>
        <v>6.60669101003569</v>
      </c>
      <c r="Y132" s="27">
        <f t="shared" si="88"/>
        <v>9.73680600767346</v>
      </c>
      <c r="Z132" s="28">
        <f t="shared" si="88"/>
        <v>12.814306177603198</v>
      </c>
    </row>
    <row r="133" spans="1:26" ht="16.5" thickBot="1">
      <c r="A133" s="133" t="s">
        <v>66</v>
      </c>
      <c r="B133" s="34">
        <f>B129*B123+B130*B124+B131*B58</f>
        <v>0.31350230587282985</v>
      </c>
      <c r="C133" s="29">
        <f aca="true" t="shared" si="89" ref="C133:Z133">C129*C123+C130*C124+C131*C58</f>
        <v>0.80747424251835</v>
      </c>
      <c r="D133" s="29">
        <f t="shared" si="89"/>
        <v>0.4885885213110231</v>
      </c>
      <c r="E133" s="29">
        <f t="shared" si="89"/>
        <v>-0.16940081103127783</v>
      </c>
      <c r="F133" s="29">
        <f t="shared" si="89"/>
        <v>-0.8761848790663704</v>
      </c>
      <c r="G133" s="29">
        <f t="shared" si="89"/>
        <v>-1.3943531624051746</v>
      </c>
      <c r="H133" s="29">
        <f t="shared" si="89"/>
        <v>-1.589223452335933</v>
      </c>
      <c r="I133" s="29">
        <f t="shared" si="89"/>
        <v>-1.3890398174436445</v>
      </c>
      <c r="J133" s="29">
        <f t="shared" si="89"/>
        <v>-0.7066095837944888</v>
      </c>
      <c r="K133" s="29">
        <f t="shared" si="89"/>
        <v>0.5704459733313805</v>
      </c>
      <c r="L133" s="29">
        <f t="shared" si="89"/>
        <v>2.3728237597293487</v>
      </c>
      <c r="M133" s="29">
        <f t="shared" si="89"/>
        <v>4.0078263974057595</v>
      </c>
      <c r="N133" s="29">
        <f t="shared" si="89"/>
        <v>4.0932327463687574</v>
      </c>
      <c r="O133" s="29">
        <f t="shared" si="89"/>
        <v>1.7871206011074046</v>
      </c>
      <c r="P133" s="29">
        <f t="shared" si="89"/>
        <v>-1.693321480546388</v>
      </c>
      <c r="Q133" s="29">
        <f t="shared" si="89"/>
        <v>-3.8638727560508843</v>
      </c>
      <c r="R133" s="29">
        <f t="shared" si="89"/>
        <v>-3.5998816995915557</v>
      </c>
      <c r="S133" s="29">
        <f t="shared" si="89"/>
        <v>-2.0233579889137996</v>
      </c>
      <c r="T133" s="29">
        <f t="shared" si="89"/>
        <v>-0.7018664634400512</v>
      </c>
      <c r="U133" s="29">
        <f t="shared" si="89"/>
        <v>-0.11024483899010142</v>
      </c>
      <c r="V133" s="29">
        <f t="shared" si="89"/>
        <v>0.0685459825523713</v>
      </c>
      <c r="W133" s="29">
        <f t="shared" si="89"/>
        <v>0.1847810064127634</v>
      </c>
      <c r="X133" s="29">
        <f t="shared" si="89"/>
        <v>0.41189563763168907</v>
      </c>
      <c r="Y133" s="29">
        <f t="shared" si="89"/>
        <v>0.7522972106207195</v>
      </c>
      <c r="Z133" s="30">
        <f t="shared" si="89"/>
        <v>1.0089090664364508</v>
      </c>
    </row>
    <row r="134" spans="2:26" ht="16.5" thickBot="1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6.5" thickBot="1">
      <c r="A135" s="130" t="s">
        <v>137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>
      <c r="A136" s="131" t="s">
        <v>20</v>
      </c>
      <c r="B136" s="32">
        <f aca="true" t="shared" si="90" ref="B136:Z136">$E$5+($H$6-$E$5)*COS(B62)-($I$6-$F$5)*SIN(B62)</f>
        <v>4</v>
      </c>
      <c r="C136" s="25">
        <f t="shared" si="90"/>
        <v>4.077291740803433</v>
      </c>
      <c r="D136" s="25">
        <f t="shared" si="90"/>
        <v>4.163381089246252</v>
      </c>
      <c r="E136" s="25">
        <f t="shared" si="90"/>
        <v>4.254864205441917</v>
      </c>
      <c r="F136" s="25">
        <f t="shared" si="90"/>
        <v>4.347607932261287</v>
      </c>
      <c r="G136" s="25">
        <f t="shared" si="90"/>
        <v>4.436616933820027</v>
      </c>
      <c r="H136" s="25">
        <f t="shared" si="90"/>
        <v>4.515864141373709</v>
      </c>
      <c r="I136" s="25">
        <f t="shared" si="90"/>
        <v>4.578172635553584</v>
      </c>
      <c r="J136" s="25">
        <f t="shared" si="90"/>
        <v>4.615390884499413</v>
      </c>
      <c r="K136" s="25">
        <f t="shared" si="90"/>
        <v>4.6193100650294046</v>
      </c>
      <c r="L136" s="25">
        <f t="shared" si="90"/>
        <v>4.583849128411786</v>
      </c>
      <c r="M136" s="25">
        <f t="shared" si="90"/>
        <v>4.508444320152811</v>
      </c>
      <c r="N136" s="25">
        <f t="shared" si="90"/>
        <v>4.400870104768398</v>
      </c>
      <c r="O136" s="25">
        <f t="shared" si="90"/>
        <v>4.276358224204265</v>
      </c>
      <c r="P136" s="25">
        <f t="shared" si="90"/>
        <v>4.152235311129778</v>
      </c>
      <c r="Q136" s="25">
        <f t="shared" si="90"/>
        <v>4.04202095863824</v>
      </c>
      <c r="R136" s="25">
        <f t="shared" si="90"/>
        <v>3.9531191745040304</v>
      </c>
      <c r="S136" s="25">
        <f t="shared" si="90"/>
        <v>3.887965373104533</v>
      </c>
      <c r="T136" s="25">
        <f t="shared" si="90"/>
        <v>3.8462132899967094</v>
      </c>
      <c r="U136" s="25">
        <f t="shared" si="90"/>
        <v>3.8264101133198722</v>
      </c>
      <c r="V136" s="25">
        <f t="shared" si="90"/>
        <v>3.8268777039436883</v>
      </c>
      <c r="W136" s="25">
        <f t="shared" si="90"/>
        <v>3.8460249803044935</v>
      </c>
      <c r="X136" s="25">
        <f t="shared" si="90"/>
        <v>3.8823461722752883</v>
      </c>
      <c r="Y136" s="25">
        <f t="shared" si="90"/>
        <v>3.934275415729658</v>
      </c>
      <c r="Z136" s="26">
        <f t="shared" si="90"/>
        <v>4</v>
      </c>
    </row>
    <row r="137" spans="1:26" ht="15.75">
      <c r="A137" s="132" t="s">
        <v>21</v>
      </c>
      <c r="B137" s="33">
        <f aca="true" t="shared" si="91" ref="B137:Z137">$F$5+($H$6-$E$5)*SIN(B62)+($I$6-$F$5)*COS(B62)</f>
        <v>8</v>
      </c>
      <c r="C137" s="27">
        <f t="shared" si="91"/>
        <v>7.988522197517636</v>
      </c>
      <c r="D137" s="27">
        <f t="shared" si="91"/>
        <v>7.974707480689366</v>
      </c>
      <c r="E137" s="27">
        <f t="shared" si="91"/>
        <v>7.958830061576488</v>
      </c>
      <c r="F137" s="27">
        <f t="shared" si="91"/>
        <v>7.941466189567335</v>
      </c>
      <c r="G137" s="27">
        <f t="shared" si="91"/>
        <v>7.923592404630817</v>
      </c>
      <c r="H137" s="27">
        <f t="shared" si="91"/>
        <v>7.906674735710184</v>
      </c>
      <c r="I137" s="27">
        <f t="shared" si="91"/>
        <v>7.892704195915407</v>
      </c>
      <c r="J137" s="27">
        <f t="shared" si="91"/>
        <v>7.884076720249144</v>
      </c>
      <c r="K137" s="27">
        <f t="shared" si="91"/>
        <v>7.88315588326274</v>
      </c>
      <c r="L137" s="27">
        <f t="shared" si="91"/>
        <v>7.891402029952195</v>
      </c>
      <c r="M137" s="27">
        <f t="shared" si="91"/>
        <v>7.908299047739518</v>
      </c>
      <c r="N137" s="27">
        <f t="shared" si="91"/>
        <v>7.93091357250732</v>
      </c>
      <c r="O137" s="27">
        <f t="shared" si="91"/>
        <v>7.95491981862524</v>
      </c>
      <c r="P137" s="27">
        <f t="shared" si="91"/>
        <v>7.976557445315395</v>
      </c>
      <c r="Q137" s="27">
        <f t="shared" si="91"/>
        <v>7.993868194479979</v>
      </c>
      <c r="R137" s="27">
        <f t="shared" si="91"/>
        <v>8.006537221708934</v>
      </c>
      <c r="S137" s="27">
        <f t="shared" si="91"/>
        <v>8.015092123141885</v>
      </c>
      <c r="T137" s="27">
        <f t="shared" si="91"/>
        <v>8.020250926272718</v>
      </c>
      <c r="U137" s="27">
        <f t="shared" si="91"/>
        <v>8.022609652017021</v>
      </c>
      <c r="V137" s="27">
        <f t="shared" si="91"/>
        <v>8.022554610874934</v>
      </c>
      <c r="W137" s="27">
        <f t="shared" si="91"/>
        <v>8.020273622352677</v>
      </c>
      <c r="X137" s="27">
        <f t="shared" si="91"/>
        <v>8.015801111225372</v>
      </c>
      <c r="Y137" s="27">
        <f t="shared" si="91"/>
        <v>8.009074792550239</v>
      </c>
      <c r="Z137" s="28">
        <f t="shared" si="91"/>
        <v>8</v>
      </c>
    </row>
    <row r="138" spans="1:26" ht="15.75">
      <c r="A138" s="132" t="s">
        <v>22</v>
      </c>
      <c r="B138" s="33">
        <f aca="true" t="shared" si="92" ref="B138:Z138">-B58*(B137-$F$5)</f>
        <v>0.27471867210498435</v>
      </c>
      <c r="C138" s="27">
        <f t="shared" si="92"/>
        <v>0.313989141584646</v>
      </c>
      <c r="D138" s="27">
        <f t="shared" si="92"/>
        <v>0.39224717129524383</v>
      </c>
      <c r="E138" s="27">
        <f t="shared" si="92"/>
        <v>0.4561284202033032</v>
      </c>
      <c r="F138" s="27">
        <f t="shared" si="92"/>
        <v>0.49099706369435014</v>
      </c>
      <c r="G138" s="27">
        <f t="shared" si="92"/>
        <v>0.4856690790978949</v>
      </c>
      <c r="H138" s="27">
        <f t="shared" si="92"/>
        <v>0.4297546846999088</v>
      </c>
      <c r="I138" s="27">
        <f t="shared" si="92"/>
        <v>0.314567454702095</v>
      </c>
      <c r="J138" s="27">
        <f t="shared" si="92"/>
        <v>0.13668714487358655</v>
      </c>
      <c r="K138" s="27">
        <f t="shared" si="92"/>
        <v>-0.09488163811588822</v>
      </c>
      <c r="L138" s="27">
        <f t="shared" si="92"/>
        <v>-0.3497864215234445</v>
      </c>
      <c r="M138" s="27">
        <f t="shared" si="92"/>
        <v>-0.5744596991584582</v>
      </c>
      <c r="N138" s="27">
        <f t="shared" si="92"/>
        <v>-0.7101996689532895</v>
      </c>
      <c r="O138" s="27">
        <f t="shared" si="92"/>
        <v>-0.7269485673784674</v>
      </c>
      <c r="P138" s="27">
        <f t="shared" si="92"/>
        <v>-0.6406172383452587</v>
      </c>
      <c r="Q138" s="27">
        <f t="shared" si="92"/>
        <v>-0.49604605113969447</v>
      </c>
      <c r="R138" s="27">
        <f t="shared" si="92"/>
        <v>-0.339000023628614</v>
      </c>
      <c r="S138" s="27">
        <f t="shared" si="92"/>
        <v>-0.20081291648841046</v>
      </c>
      <c r="T138" s="27">
        <f t="shared" si="92"/>
        <v>-0.095855980273445</v>
      </c>
      <c r="U138" s="27">
        <f t="shared" si="92"/>
        <v>-0.02450789287597981</v>
      </c>
      <c r="V138" s="27">
        <f t="shared" si="92"/>
        <v>0.022926804191020167</v>
      </c>
      <c r="W138" s="27">
        <f t="shared" si="92"/>
        <v>0.06293334954787044</v>
      </c>
      <c r="X138" s="27">
        <f t="shared" si="92"/>
        <v>0.11274796393790987</v>
      </c>
      <c r="Y138" s="27">
        <f t="shared" si="92"/>
        <v>0.1800028558336781</v>
      </c>
      <c r="Z138" s="28">
        <f t="shared" si="92"/>
        <v>0.26105744779132617</v>
      </c>
    </row>
    <row r="139" spans="1:26" ht="15.75">
      <c r="A139" s="132" t="s">
        <v>23</v>
      </c>
      <c r="B139" s="33">
        <f aca="true" t="shared" si="93" ref="B139:Z139">B58*(B136-$E$5)</f>
        <v>-0.039245524586426335</v>
      </c>
      <c r="C139" s="27">
        <f t="shared" si="93"/>
        <v>-0.04840192237655767</v>
      </c>
      <c r="D139" s="27">
        <f t="shared" si="93"/>
        <v>-0.06542682150594208</v>
      </c>
      <c r="E139" s="27">
        <f t="shared" si="93"/>
        <v>-0.08225222092407662</v>
      </c>
      <c r="F139" s="27">
        <f t="shared" si="93"/>
        <v>-0.09532158187933908</v>
      </c>
      <c r="G139" s="27">
        <f t="shared" si="93"/>
        <v>-0.1007743354155491</v>
      </c>
      <c r="H139" s="27">
        <f t="shared" si="93"/>
        <v>-0.09432175989926221</v>
      </c>
      <c r="I139" s="27">
        <f t="shared" si="93"/>
        <v>-0.07202423532708363</v>
      </c>
      <c r="J139" s="27">
        <f t="shared" si="93"/>
        <v>-0.03207447807889206</v>
      </c>
      <c r="K139" s="27">
        <f t="shared" si="93"/>
        <v>0.022321562113846234</v>
      </c>
      <c r="L139" s="27">
        <f t="shared" si="93"/>
        <v>0.08039132188955</v>
      </c>
      <c r="M139" s="27">
        <f t="shared" si="93"/>
        <v>0.12543470749660318</v>
      </c>
      <c r="N139" s="27">
        <f t="shared" si="93"/>
        <v>0.14354492726608375</v>
      </c>
      <c r="O139" s="27">
        <f t="shared" si="93"/>
        <v>0.13340869582166082</v>
      </c>
      <c r="P139" s="27">
        <f t="shared" si="93"/>
        <v>0.10580315703348711</v>
      </c>
      <c r="Q139" s="27">
        <f t="shared" si="93"/>
        <v>0.0739062229032657</v>
      </c>
      <c r="R139" s="27">
        <f t="shared" si="93"/>
        <v>0.0461151368291659</v>
      </c>
      <c r="S139" s="27">
        <f t="shared" si="93"/>
        <v>0.025418756187905622</v>
      </c>
      <c r="T139" s="27">
        <f t="shared" si="93"/>
        <v>0.011554373951148491</v>
      </c>
      <c r="U139" s="27">
        <f t="shared" si="93"/>
        <v>0.002884051874227777</v>
      </c>
      <c r="V139" s="27">
        <f t="shared" si="93"/>
        <v>-0.0026995394494875088</v>
      </c>
      <c r="W139" s="27">
        <f t="shared" si="93"/>
        <v>-0.007584203789750536</v>
      </c>
      <c r="X139" s="27">
        <f t="shared" si="93"/>
        <v>-0.014179811091462295</v>
      </c>
      <c r="Y139" s="27">
        <f t="shared" si="93"/>
        <v>-0.02399350098892955</v>
      </c>
      <c r="Z139" s="28">
        <f t="shared" si="93"/>
        <v>-0.037293921113046594</v>
      </c>
    </row>
    <row r="140" spans="1:26" ht="15.75">
      <c r="A140" s="132" t="s">
        <v>24</v>
      </c>
      <c r="B140" s="33">
        <f aca="true" t="shared" si="94" ref="B140:Z140">-B60*(B137-$F$5)-B58*B139</f>
        <v>0.06668661519779004</v>
      </c>
      <c r="C140" s="27">
        <f t="shared" si="94"/>
        <v>0.18066910840984723</v>
      </c>
      <c r="D140" s="27">
        <f t="shared" si="94"/>
        <v>0.3770444617664999</v>
      </c>
      <c r="E140" s="27">
        <f t="shared" si="94"/>
        <v>0.5144918744757047</v>
      </c>
      <c r="F140" s="27">
        <f t="shared" si="94"/>
        <v>0.44120363009992314</v>
      </c>
      <c r="G140" s="27">
        <f t="shared" si="94"/>
        <v>0.03555942551589966</v>
      </c>
      <c r="H140" s="27">
        <f t="shared" si="94"/>
        <v>-0.7399672750891295</v>
      </c>
      <c r="I140" s="27">
        <f t="shared" si="94"/>
        <v>-1.8067195679903534</v>
      </c>
      <c r="J140" s="27">
        <f t="shared" si="94"/>
        <v>-2.967994523940333</v>
      </c>
      <c r="K140" s="27">
        <f t="shared" si="94"/>
        <v>-3.9389382424662513</v>
      </c>
      <c r="L140" s="27">
        <f t="shared" si="94"/>
        <v>-4.413905212772073</v>
      </c>
      <c r="M140" s="27">
        <f t="shared" si="94"/>
        <v>-4.185806651337913</v>
      </c>
      <c r="N140" s="27">
        <f t="shared" si="94"/>
        <v>-3.290451766590619</v>
      </c>
      <c r="O140" s="27">
        <f t="shared" si="94"/>
        <v>-2.0376270165594423</v>
      </c>
      <c r="P140" s="27">
        <f t="shared" si="94"/>
        <v>-0.8393382748345485</v>
      </c>
      <c r="Q140" s="27">
        <f t="shared" si="94"/>
        <v>0.0018398668314831505</v>
      </c>
      <c r="R140" s="27">
        <f t="shared" si="94"/>
        <v>0.3854326711816439</v>
      </c>
      <c r="S140" s="27">
        <f t="shared" si="94"/>
        <v>0.40359441854668393</v>
      </c>
      <c r="T140" s="27">
        <f t="shared" si="94"/>
        <v>0.2513419842210537</v>
      </c>
      <c r="U140" s="27">
        <f t="shared" si="94"/>
        <v>0.09626382033265692</v>
      </c>
      <c r="V140" s="27">
        <f t="shared" si="94"/>
        <v>0.006738067061306527</v>
      </c>
      <c r="W140" s="27">
        <f t="shared" si="94"/>
        <v>-0.025748409160902458</v>
      </c>
      <c r="X140" s="27">
        <f t="shared" si="94"/>
        <v>-0.0234821042160298</v>
      </c>
      <c r="Y140" s="27">
        <f t="shared" si="94"/>
        <v>0.02476388766040981</v>
      </c>
      <c r="Z140" s="28">
        <f t="shared" si="94"/>
        <v>0.1534782310801837</v>
      </c>
    </row>
    <row r="141" spans="1:26" ht="15.75">
      <c r="A141" s="132" t="s">
        <v>25</v>
      </c>
      <c r="B141" s="33">
        <f aca="true" t="shared" si="95" ref="B141:Z141">B60*(B136-$E$5)+B58*B138</f>
        <v>-0.02052816788585425</v>
      </c>
      <c r="C141" s="27">
        <f t="shared" si="95"/>
        <v>-0.04229295651891099</v>
      </c>
      <c r="D141" s="27">
        <f t="shared" si="95"/>
        <v>-0.08556414883892498</v>
      </c>
      <c r="E141" s="27">
        <f t="shared" si="95"/>
        <v>-0.12364664652256999</v>
      </c>
      <c r="F141" s="27">
        <f t="shared" si="95"/>
        <v>-0.12169386252477547</v>
      </c>
      <c r="G141" s="27">
        <f t="shared" si="95"/>
        <v>-0.04291344385388314</v>
      </c>
      <c r="H141" s="27">
        <f t="shared" si="95"/>
        <v>0.13437786057695117</v>
      </c>
      <c r="I141" s="27">
        <f t="shared" si="95"/>
        <v>0.39856276001476026</v>
      </c>
      <c r="J141" s="27">
        <f t="shared" si="95"/>
        <v>0.6935947034778046</v>
      </c>
      <c r="K141" s="27">
        <f t="shared" si="95"/>
        <v>0.9252821920908062</v>
      </c>
      <c r="L141" s="27">
        <f t="shared" si="95"/>
        <v>0.995754795468167</v>
      </c>
      <c r="M141" s="27">
        <f t="shared" si="95"/>
        <v>0.8639345829447636</v>
      </c>
      <c r="N141" s="27">
        <f t="shared" si="95"/>
        <v>0.5893172310322671</v>
      </c>
      <c r="O141" s="27">
        <f t="shared" si="95"/>
        <v>0.2954009469972736</v>
      </c>
      <c r="P141" s="27">
        <f t="shared" si="95"/>
        <v>0.07819478996909432</v>
      </c>
      <c r="Q141" s="27">
        <f t="shared" si="95"/>
        <v>-0.03623759947816184</v>
      </c>
      <c r="R141" s="27">
        <f t="shared" si="95"/>
        <v>-0.06913698963128534</v>
      </c>
      <c r="S141" s="27">
        <f t="shared" si="95"/>
        <v>-0.05692723659679837</v>
      </c>
      <c r="T141" s="27">
        <f t="shared" si="95"/>
        <v>-0.03162433967463009</v>
      </c>
      <c r="U141" s="27">
        <f t="shared" si="95"/>
        <v>-0.011414894634663978</v>
      </c>
      <c r="V141" s="27">
        <f t="shared" si="95"/>
        <v>-0.0008692681826740403</v>
      </c>
      <c r="W141" s="27">
        <f t="shared" si="95"/>
        <v>0.0025306236874043505</v>
      </c>
      <c r="X141" s="27">
        <f t="shared" si="95"/>
        <v>0.001112656164776328</v>
      </c>
      <c r="Y141" s="27">
        <f t="shared" si="95"/>
        <v>-0.008005765282550363</v>
      </c>
      <c r="Z141" s="28">
        <f t="shared" si="95"/>
        <v>-0.031860008382784404</v>
      </c>
    </row>
    <row r="142" spans="1:26" ht="15.75">
      <c r="A142" s="132" t="s">
        <v>67</v>
      </c>
      <c r="B142" s="33">
        <f>0.5*$J$6*(B138^2+B139^2)+0.5*$L$6*B58^2</f>
        <v>0.04813160000199357</v>
      </c>
      <c r="C142" s="27">
        <f aca="true" t="shared" si="96" ref="C142:Z142">0.5*$J$6*(C138^2+C139^2)+0.5*$L$6*C58^2</f>
        <v>0.06308245445175574</v>
      </c>
      <c r="D142" s="27">
        <f t="shared" si="96"/>
        <v>0.09883657022593173</v>
      </c>
      <c r="E142" s="27">
        <f t="shared" si="96"/>
        <v>0.13426160222756514</v>
      </c>
      <c r="F142" s="27">
        <f t="shared" si="96"/>
        <v>0.15635270033028328</v>
      </c>
      <c r="G142" s="27">
        <f t="shared" si="96"/>
        <v>0.15376870066890183</v>
      </c>
      <c r="H142" s="27">
        <f t="shared" si="96"/>
        <v>0.12099105213250753</v>
      </c>
      <c r="I142" s="27">
        <f t="shared" si="96"/>
        <v>0.06508760877012858</v>
      </c>
      <c r="J142" s="27">
        <f t="shared" si="96"/>
        <v>0.012320092323578854</v>
      </c>
      <c r="K142" s="27">
        <f t="shared" si="96"/>
        <v>0.005937985866722916</v>
      </c>
      <c r="L142" s="27">
        <f t="shared" si="96"/>
        <v>0.08050831582332878</v>
      </c>
      <c r="M142" s="27">
        <f t="shared" si="96"/>
        <v>0.21608613237624041</v>
      </c>
      <c r="N142" s="27">
        <f t="shared" si="96"/>
        <v>0.32811794745324196</v>
      </c>
      <c r="O142" s="27">
        <f t="shared" si="96"/>
        <v>0.3414075623340265</v>
      </c>
      <c r="P142" s="27">
        <f t="shared" si="96"/>
        <v>0.26349047131459924</v>
      </c>
      <c r="Q142" s="27">
        <f t="shared" si="96"/>
        <v>0.15720238414694473</v>
      </c>
      <c r="R142" s="27">
        <f t="shared" si="96"/>
        <v>0.07315476366560845</v>
      </c>
      <c r="S142" s="27">
        <f t="shared" si="96"/>
        <v>0.025607462871700935</v>
      </c>
      <c r="T142" s="27">
        <f t="shared" si="96"/>
        <v>0.005826170319741284</v>
      </c>
      <c r="U142" s="27">
        <f t="shared" si="96"/>
        <v>0.00038059660527108664</v>
      </c>
      <c r="V142" s="27">
        <f t="shared" si="96"/>
        <v>0.0003330786647829495</v>
      </c>
      <c r="W142" s="27">
        <f t="shared" si="96"/>
        <v>0.0025113291452743196</v>
      </c>
      <c r="X142" s="27">
        <f t="shared" si="96"/>
        <v>0.008070731509208614</v>
      </c>
      <c r="Y142" s="27">
        <f t="shared" si="96"/>
        <v>0.020610447623741035</v>
      </c>
      <c r="Z142" s="28">
        <f t="shared" si="96"/>
        <v>0.043463642249566954</v>
      </c>
    </row>
    <row r="143" spans="1:26" ht="15.75">
      <c r="A143" s="132" t="s">
        <v>68</v>
      </c>
      <c r="B143" s="33">
        <f>$K$6*(B137-$I$6)</f>
        <v>0</v>
      </c>
      <c r="C143" s="27">
        <f aca="true" t="shared" si="97" ref="C143:Z143">$K$6*(C137-$I$6)</f>
        <v>-0.1351166908223925</v>
      </c>
      <c r="D143" s="27">
        <f t="shared" si="97"/>
        <v>-0.29774353732478254</v>
      </c>
      <c r="E143" s="27">
        <f t="shared" si="97"/>
        <v>-0.48465251512158614</v>
      </c>
      <c r="F143" s="27">
        <f t="shared" si="97"/>
        <v>-0.6890600164133289</v>
      </c>
      <c r="G143" s="27">
        <f t="shared" si="97"/>
        <v>-0.8994702126860218</v>
      </c>
      <c r="H143" s="27">
        <f t="shared" si="97"/>
        <v>-1.098625011219713</v>
      </c>
      <c r="I143" s="27">
        <f t="shared" si="97"/>
        <v>-1.2630862056838321</v>
      </c>
      <c r="J143" s="27">
        <f t="shared" si="97"/>
        <v>-1.3646488492270747</v>
      </c>
      <c r="K143" s="27">
        <f t="shared" si="97"/>
        <v>-1.3754889422310277</v>
      </c>
      <c r="L143" s="27">
        <f t="shared" si="97"/>
        <v>-1.2784153034027634</v>
      </c>
      <c r="M143" s="27">
        <f t="shared" si="97"/>
        <v>-1.0795036100103983</v>
      </c>
      <c r="N143" s="27">
        <f t="shared" si="97"/>
        <v>-0.8132854244438278</v>
      </c>
      <c r="O143" s="27">
        <f t="shared" si="97"/>
        <v>-0.530683895143676</v>
      </c>
      <c r="P143" s="27">
        <f t="shared" si="97"/>
        <v>-0.27596575374717125</v>
      </c>
      <c r="Q143" s="27">
        <f t="shared" si="97"/>
        <v>-0.07218361458169002</v>
      </c>
      <c r="R143" s="27">
        <f t="shared" si="97"/>
        <v>0.07695617395756718</v>
      </c>
      <c r="S143" s="27">
        <f t="shared" si="97"/>
        <v>0.17766447362627302</v>
      </c>
      <c r="T143" s="27">
        <f t="shared" si="97"/>
        <v>0.23839390408243585</v>
      </c>
      <c r="U143" s="27">
        <f t="shared" si="97"/>
        <v>0.26616082354437026</v>
      </c>
      <c r="V143" s="27">
        <f t="shared" si="97"/>
        <v>0.2655128792197249</v>
      </c>
      <c r="W143" s="27">
        <f t="shared" si="97"/>
        <v>0.23866108233571812</v>
      </c>
      <c r="X143" s="27">
        <f t="shared" si="97"/>
        <v>0.1860106813450763</v>
      </c>
      <c r="Y143" s="27">
        <f t="shared" si="97"/>
        <v>0.10682845790141113</v>
      </c>
      <c r="Z143" s="28">
        <f t="shared" si="97"/>
        <v>0</v>
      </c>
    </row>
    <row r="144" spans="1:26" ht="15.75">
      <c r="A144" s="132" t="s">
        <v>69</v>
      </c>
      <c r="B144" s="33">
        <f>$J$6*B140</f>
        <v>0.08002393823734805</v>
      </c>
      <c r="C144" s="27">
        <f aca="true" t="shared" si="98" ref="C144:Z144">$J$6*C140</f>
        <v>0.21680293009181667</v>
      </c>
      <c r="D144" s="27">
        <f t="shared" si="98"/>
        <v>0.45245335411979987</v>
      </c>
      <c r="E144" s="27">
        <f t="shared" si="98"/>
        <v>0.6173902493708455</v>
      </c>
      <c r="F144" s="27">
        <f t="shared" si="98"/>
        <v>0.5294443561199077</v>
      </c>
      <c r="G144" s="27">
        <f t="shared" si="98"/>
        <v>0.04267131061907959</v>
      </c>
      <c r="H144" s="27">
        <f t="shared" si="98"/>
        <v>-0.8879607301069554</v>
      </c>
      <c r="I144" s="27">
        <f t="shared" si="98"/>
        <v>-2.168063481588424</v>
      </c>
      <c r="J144" s="27">
        <f t="shared" si="98"/>
        <v>-3.5615934287283992</v>
      </c>
      <c r="K144" s="27">
        <f t="shared" si="98"/>
        <v>-4.726725890959502</v>
      </c>
      <c r="L144" s="27">
        <f t="shared" si="98"/>
        <v>-5.296686255326487</v>
      </c>
      <c r="M144" s="27">
        <f t="shared" si="98"/>
        <v>-5.022967981605495</v>
      </c>
      <c r="N144" s="27">
        <f t="shared" si="98"/>
        <v>-3.9485421199087427</v>
      </c>
      <c r="O144" s="27">
        <f t="shared" si="98"/>
        <v>-2.445152419871331</v>
      </c>
      <c r="P144" s="27">
        <f t="shared" si="98"/>
        <v>-1.0072059298014582</v>
      </c>
      <c r="Q144" s="27">
        <f t="shared" si="98"/>
        <v>0.0022078401977797804</v>
      </c>
      <c r="R144" s="27">
        <f t="shared" si="98"/>
        <v>0.4625192054179727</v>
      </c>
      <c r="S144" s="27">
        <f t="shared" si="98"/>
        <v>0.4843133022560207</v>
      </c>
      <c r="T144" s="27">
        <f t="shared" si="98"/>
        <v>0.30161038106526444</v>
      </c>
      <c r="U144" s="27">
        <f t="shared" si="98"/>
        <v>0.1155165843991883</v>
      </c>
      <c r="V144" s="27">
        <f t="shared" si="98"/>
        <v>0.008085680473567832</v>
      </c>
      <c r="W144" s="27">
        <f t="shared" si="98"/>
        <v>-0.03089809099308295</v>
      </c>
      <c r="X144" s="27">
        <f t="shared" si="98"/>
        <v>-0.028178525059235758</v>
      </c>
      <c r="Y144" s="27">
        <f t="shared" si="98"/>
        <v>0.02971666519249177</v>
      </c>
      <c r="Z144" s="28">
        <f t="shared" si="98"/>
        <v>0.18417387729622045</v>
      </c>
    </row>
    <row r="145" spans="1:26" ht="15.75">
      <c r="A145" s="132" t="s">
        <v>70</v>
      </c>
      <c r="B145" s="33">
        <f>$J$6*B141</f>
        <v>-0.0246338014630251</v>
      </c>
      <c r="C145" s="27">
        <f aca="true" t="shared" si="99" ref="C145:Z145">$J$6*C141</f>
        <v>-0.050751547822693185</v>
      </c>
      <c r="D145" s="27">
        <f t="shared" si="99"/>
        <v>-0.10267697860670998</v>
      </c>
      <c r="E145" s="27">
        <f t="shared" si="99"/>
        <v>-0.14837597582708398</v>
      </c>
      <c r="F145" s="27">
        <f t="shared" si="99"/>
        <v>-0.14603263502973057</v>
      </c>
      <c r="G145" s="27">
        <f t="shared" si="99"/>
        <v>-0.05149613262465977</v>
      </c>
      <c r="H145" s="27">
        <f t="shared" si="99"/>
        <v>0.1612534326923414</v>
      </c>
      <c r="I145" s="27">
        <f t="shared" si="99"/>
        <v>0.4782753120177123</v>
      </c>
      <c r="J145" s="27">
        <f t="shared" si="99"/>
        <v>0.8323136441733655</v>
      </c>
      <c r="K145" s="27">
        <f t="shared" si="99"/>
        <v>1.1103386305089673</v>
      </c>
      <c r="L145" s="27">
        <f t="shared" si="99"/>
        <v>1.1949057545618005</v>
      </c>
      <c r="M145" s="27">
        <f t="shared" si="99"/>
        <v>1.0367214995337162</v>
      </c>
      <c r="N145" s="27">
        <f t="shared" si="99"/>
        <v>0.7071806772387205</v>
      </c>
      <c r="O145" s="27">
        <f t="shared" si="99"/>
        <v>0.3544811363967283</v>
      </c>
      <c r="P145" s="27">
        <f t="shared" si="99"/>
        <v>0.09383374796291317</v>
      </c>
      <c r="Q145" s="27">
        <f t="shared" si="99"/>
        <v>-0.04348511937379421</v>
      </c>
      <c r="R145" s="27">
        <f t="shared" si="99"/>
        <v>-0.0829643875575424</v>
      </c>
      <c r="S145" s="27">
        <f t="shared" si="99"/>
        <v>-0.06831268391615804</v>
      </c>
      <c r="T145" s="27">
        <f t="shared" si="99"/>
        <v>-0.037949207609556106</v>
      </c>
      <c r="U145" s="27">
        <f t="shared" si="99"/>
        <v>-0.013697873561596774</v>
      </c>
      <c r="V145" s="27">
        <f t="shared" si="99"/>
        <v>-0.0010431218192088483</v>
      </c>
      <c r="W145" s="27">
        <f t="shared" si="99"/>
        <v>0.0030367484248852205</v>
      </c>
      <c r="X145" s="27">
        <f t="shared" si="99"/>
        <v>0.0013351873977315936</v>
      </c>
      <c r="Y145" s="27">
        <f t="shared" si="99"/>
        <v>-0.009606918339060435</v>
      </c>
      <c r="Z145" s="28">
        <f t="shared" si="99"/>
        <v>-0.038232010059341286</v>
      </c>
    </row>
    <row r="146" spans="1:26" ht="15.75">
      <c r="A146" s="132" t="s">
        <v>71</v>
      </c>
      <c r="B146" s="33">
        <f>$L$6*B60</f>
        <v>-0.024366723713519226</v>
      </c>
      <c r="C146" s="27">
        <f aca="true" t="shared" si="100" ref="C146:Z146">$L$6*C60</f>
        <v>-0.06540859636399594</v>
      </c>
      <c r="D146" s="27">
        <f t="shared" si="100"/>
        <v>-0.13646592703559798</v>
      </c>
      <c r="E146" s="27">
        <f t="shared" si="100"/>
        <v>-0.18677106366912363</v>
      </c>
      <c r="F146" s="27">
        <f t="shared" si="100"/>
        <v>-0.16132978477494456</v>
      </c>
      <c r="G146" s="27">
        <f t="shared" si="100"/>
        <v>-0.015392457427197083</v>
      </c>
      <c r="H146" s="27">
        <f t="shared" si="100"/>
        <v>0.26572059321767577</v>
      </c>
      <c r="I146" s="27">
        <f t="shared" si="100"/>
        <v>0.6541092194267792</v>
      </c>
      <c r="J146" s="27">
        <f t="shared" si="100"/>
        <v>1.077616428480985</v>
      </c>
      <c r="K146" s="27">
        <f t="shared" si="100"/>
        <v>1.4305322352042644</v>
      </c>
      <c r="L146" s="27">
        <f t="shared" si="100"/>
        <v>1.599756035411407</v>
      </c>
      <c r="M146" s="27">
        <f t="shared" si="100"/>
        <v>1.511000065904303</v>
      </c>
      <c r="N146" s="27">
        <f t="shared" si="100"/>
        <v>1.18156968499608</v>
      </c>
      <c r="O146" s="27">
        <f t="shared" si="100"/>
        <v>0.7274284974286592</v>
      </c>
      <c r="P146" s="27">
        <f t="shared" si="100"/>
        <v>0.29728952442919576</v>
      </c>
      <c r="Q146" s="27">
        <f t="shared" si="100"/>
        <v>-0.0025314062130885723</v>
      </c>
      <c r="R146" s="27">
        <f t="shared" si="100"/>
        <v>-0.1383222073790977</v>
      </c>
      <c r="S146" s="27">
        <f t="shared" si="100"/>
        <v>-0.1440900720687679</v>
      </c>
      <c r="T146" s="27">
        <f t="shared" si="100"/>
        <v>-0.08956223670295585</v>
      </c>
      <c r="U146" s="27">
        <f t="shared" si="100"/>
        <v>-0.0342728309088358</v>
      </c>
      <c r="V146" s="27">
        <f t="shared" si="100"/>
        <v>-0.002401861119438175</v>
      </c>
      <c r="W146" s="27">
        <f t="shared" si="100"/>
        <v>0.009145092425256095</v>
      </c>
      <c r="X146" s="27">
        <f t="shared" si="100"/>
        <v>0.008286376038039035</v>
      </c>
      <c r="Y146" s="27">
        <f t="shared" si="100"/>
        <v>-0.009052576522685655</v>
      </c>
      <c r="Z146" s="28">
        <f t="shared" si="100"/>
        <v>-0.05531038129720351</v>
      </c>
    </row>
    <row r="147" spans="1:26" ht="15.75">
      <c r="A147" s="132" t="s">
        <v>72</v>
      </c>
      <c r="B147" s="33">
        <f>$K$6*B139</f>
        <v>-0.46199831543141084</v>
      </c>
      <c r="C147" s="27">
        <f aca="true" t="shared" si="101" ref="C147:Z147">$K$6*C139</f>
        <v>-0.5697874302168369</v>
      </c>
      <c r="D147" s="27">
        <f t="shared" si="101"/>
        <v>-0.7702045427679501</v>
      </c>
      <c r="E147" s="27">
        <f t="shared" si="101"/>
        <v>-0.96827314471823</v>
      </c>
      <c r="F147" s="27">
        <f t="shared" si="101"/>
        <v>-1.1221256618835795</v>
      </c>
      <c r="G147" s="27">
        <f t="shared" si="101"/>
        <v>-1.186315476511844</v>
      </c>
      <c r="H147" s="27">
        <f t="shared" si="101"/>
        <v>-1.1103557575341148</v>
      </c>
      <c r="I147" s="27">
        <f t="shared" si="101"/>
        <v>-0.8478692982704286</v>
      </c>
      <c r="J147" s="27">
        <f t="shared" si="101"/>
        <v>-0.37758075594471735</v>
      </c>
      <c r="K147" s="27">
        <f t="shared" si="101"/>
        <v>0.2627694292041979</v>
      </c>
      <c r="L147" s="27">
        <f t="shared" si="101"/>
        <v>0.9463666412837827</v>
      </c>
      <c r="M147" s="27">
        <f t="shared" si="101"/>
        <v>1.4766173766500126</v>
      </c>
      <c r="N147" s="27">
        <f t="shared" si="101"/>
        <v>1.689810883776338</v>
      </c>
      <c r="O147" s="27">
        <f t="shared" si="101"/>
        <v>1.570487167212591</v>
      </c>
      <c r="P147" s="27">
        <f t="shared" si="101"/>
        <v>1.2455147645982103</v>
      </c>
      <c r="Q147" s="27">
        <f t="shared" si="101"/>
        <v>0.8700240560172439</v>
      </c>
      <c r="R147" s="27">
        <f t="shared" si="101"/>
        <v>0.542867390752941</v>
      </c>
      <c r="S147" s="27">
        <f t="shared" si="101"/>
        <v>0.299229597844025</v>
      </c>
      <c r="T147" s="27">
        <f t="shared" si="101"/>
        <v>0.13601809015292005</v>
      </c>
      <c r="U147" s="27">
        <f t="shared" si="101"/>
        <v>0.03395105866340939</v>
      </c>
      <c r="V147" s="27">
        <f t="shared" si="101"/>
        <v>-0.031778978399366956</v>
      </c>
      <c r="W147" s="27">
        <f t="shared" si="101"/>
        <v>-0.08928124701294331</v>
      </c>
      <c r="X147" s="27">
        <f t="shared" si="101"/>
        <v>-0.16692473616869413</v>
      </c>
      <c r="Y147" s="27">
        <f t="shared" si="101"/>
        <v>-0.28245149364167865</v>
      </c>
      <c r="Z147" s="28">
        <f t="shared" si="101"/>
        <v>-0.4390240393427845</v>
      </c>
    </row>
    <row r="148" spans="1:26" ht="16.5" thickBot="1">
      <c r="A148" s="133" t="s">
        <v>66</v>
      </c>
      <c r="B148" s="34">
        <f>B144*B138+B145*B139+B146*B58</f>
        <v>0.023907121364739412</v>
      </c>
      <c r="C148" s="29">
        <f aca="true" t="shared" si="102" ref="C148:Z148">C144*C138+C145*C139+C146*C58</f>
        <v>0.07346899832371842</v>
      </c>
      <c r="D148" s="29">
        <f t="shared" si="102"/>
        <v>0.19186601734229938</v>
      </c>
      <c r="E148" s="29">
        <f t="shared" si="102"/>
        <v>0.3060557214979187</v>
      </c>
      <c r="F148" s="29">
        <f t="shared" si="102"/>
        <v>0.28528717293902356</v>
      </c>
      <c r="G148" s="29">
        <f t="shared" si="102"/>
        <v>0.02699335903540591</v>
      </c>
      <c r="H148" s="29">
        <f t="shared" si="102"/>
        <v>-0.41334894911911907</v>
      </c>
      <c r="I148" s="29">
        <f t="shared" si="102"/>
        <v>-0.7463016923538864</v>
      </c>
      <c r="J148" s="29">
        <f t="shared" si="102"/>
        <v>-0.5349167319877228</v>
      </c>
      <c r="K148" s="29">
        <f t="shared" si="102"/>
        <v>0.492983321007633</v>
      </c>
      <c r="L148" s="29">
        <f t="shared" si="102"/>
        <v>2.029967692005957</v>
      </c>
      <c r="M148" s="29">
        <f t="shared" si="102"/>
        <v>3.1411807642136584</v>
      </c>
      <c r="N148" s="29">
        <f t="shared" si="102"/>
        <v>3.026839068005751</v>
      </c>
      <c r="O148" s="29">
        <f t="shared" si="102"/>
        <v>1.9008238695286712</v>
      </c>
      <c r="P148" s="29">
        <f t="shared" si="102"/>
        <v>0.6824597791303536</v>
      </c>
      <c r="Q148" s="29">
        <f t="shared" si="102"/>
        <v>-0.004488553476115516</v>
      </c>
      <c r="R148" s="29">
        <f t="shared" si="102"/>
        <v>-0.16731243296827555</v>
      </c>
      <c r="S148" s="29">
        <f t="shared" si="102"/>
        <v>-0.10311748976788632</v>
      </c>
      <c r="T148" s="29">
        <f t="shared" si="102"/>
        <v>-0.03057253965992583</v>
      </c>
      <c r="U148" s="29">
        <f t="shared" si="102"/>
        <v>-0.0029901806810131728</v>
      </c>
      <c r="V148" s="29">
        <f t="shared" si="102"/>
        <v>0.00019603620986481288</v>
      </c>
      <c r="W148" s="29">
        <f t="shared" si="102"/>
        <v>-0.002049532999731385</v>
      </c>
      <c r="X148" s="29">
        <f t="shared" si="102"/>
        <v>-0.0033291708669518105</v>
      </c>
      <c r="Y148" s="29">
        <f t="shared" si="102"/>
        <v>0.005812071047052695</v>
      </c>
      <c r="Z148" s="30">
        <f t="shared" si="102"/>
        <v>0.051568524920760896</v>
      </c>
    </row>
    <row r="149" spans="2:26" ht="16.5" thickBot="1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6.5" thickBot="1">
      <c r="A150" s="168" t="s">
        <v>138</v>
      </c>
      <c r="B150" s="169"/>
      <c r="C150" s="170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>
      <c r="A151" s="131" t="s">
        <v>20</v>
      </c>
      <c r="B151" s="32">
        <f>B47+($H$7-$E$4)*COS(B62)-($I$7-$F$4)*SIN(B62)</f>
        <v>3.5</v>
      </c>
      <c r="C151" s="25">
        <f aca="true" t="shared" si="103" ref="C151:Z151">C47+($H$7-$E$4)*COS(C62)-($I$7-$F$4)*SIN(C62)</f>
        <v>3.5602291022195933</v>
      </c>
      <c r="D151" s="25">
        <f t="shared" si="103"/>
        <v>3.6272097861724655</v>
      </c>
      <c r="E151" s="25">
        <f t="shared" si="103"/>
        <v>3.698266314269292</v>
      </c>
      <c r="F151" s="25">
        <f t="shared" si="103"/>
        <v>3.770174166513688</v>
      </c>
      <c r="G151" s="25">
        <f t="shared" si="103"/>
        <v>3.839064426219392</v>
      </c>
      <c r="H151" s="25">
        <f t="shared" si="103"/>
        <v>3.9002981109025816</v>
      </c>
      <c r="I151" s="25">
        <f t="shared" si="103"/>
        <v>3.948375940066493</v>
      </c>
      <c r="J151" s="25">
        <f t="shared" si="103"/>
        <v>3.9770654067683355</v>
      </c>
      <c r="K151" s="25">
        <f t="shared" si="103"/>
        <v>3.980085239577492</v>
      </c>
      <c r="L151" s="25">
        <f t="shared" si="103"/>
        <v>3.9527530111295555</v>
      </c>
      <c r="M151" s="25">
        <f t="shared" si="103"/>
        <v>3.894568940690005</v>
      </c>
      <c r="N151" s="25">
        <f t="shared" si="103"/>
        <v>3.8114118751911343</v>
      </c>
      <c r="O151" s="25">
        <f t="shared" si="103"/>
        <v>3.7149429607592857</v>
      </c>
      <c r="P151" s="25">
        <f t="shared" si="103"/>
        <v>3.6185441517010757</v>
      </c>
      <c r="Q151" s="25">
        <f t="shared" si="103"/>
        <v>3.532755486378847</v>
      </c>
      <c r="R151" s="25">
        <f t="shared" si="103"/>
        <v>3.463425604394197</v>
      </c>
      <c r="S151" s="25">
        <f t="shared" si="103"/>
        <v>3.4125419472444136</v>
      </c>
      <c r="T151" s="25">
        <f t="shared" si="103"/>
        <v>3.37990190204782</v>
      </c>
      <c r="U151" s="25">
        <f t="shared" si="103"/>
        <v>3.3644117163858773</v>
      </c>
      <c r="V151" s="25">
        <f t="shared" si="103"/>
        <v>3.364777534922722</v>
      </c>
      <c r="W151" s="25">
        <f t="shared" si="103"/>
        <v>3.379754631767891</v>
      </c>
      <c r="X151" s="25">
        <f t="shared" si="103"/>
        <v>3.4081505705575803</v>
      </c>
      <c r="Y151" s="25">
        <f t="shared" si="103"/>
        <v>3.448715436413382</v>
      </c>
      <c r="Z151" s="26">
        <f t="shared" si="103"/>
        <v>3.5</v>
      </c>
    </row>
    <row r="152" spans="1:26" ht="15.75">
      <c r="A152" s="132" t="s">
        <v>21</v>
      </c>
      <c r="B152" s="33">
        <f>B48+($H$7-$E$4)*SIN(B62)+($I$7-$F$4)*COS(B62)</f>
        <v>1.5</v>
      </c>
      <c r="C152" s="27">
        <f aca="true" t="shared" si="104" ref="C152:Z152">C48+($H$7-$E$4)*SIN(C62)+($I$7-$F$4)*COS(C62)</f>
        <v>1.7511814833037866</v>
      </c>
      <c r="D152" s="27">
        <f t="shared" si="104"/>
        <v>1.999662148502793</v>
      </c>
      <c r="E152" s="27">
        <f t="shared" si="104"/>
        <v>2.2329788165412205</v>
      </c>
      <c r="F152" s="27">
        <f t="shared" si="104"/>
        <v>2.442021154560534</v>
      </c>
      <c r="G152" s="27">
        <f t="shared" si="104"/>
        <v>2.620338848614373</v>
      </c>
      <c r="H152" s="27">
        <f t="shared" si="104"/>
        <v>2.7631053007458277</v>
      </c>
      <c r="I152" s="27">
        <f t="shared" si="104"/>
        <v>2.86594422254654</v>
      </c>
      <c r="J152" s="27">
        <f t="shared" si="104"/>
        <v>2.9237492912145844</v>
      </c>
      <c r="K152" s="27">
        <f t="shared" si="104"/>
        <v>2.9296861855429857</v>
      </c>
      <c r="L152" s="27">
        <f t="shared" si="104"/>
        <v>2.874930103118757</v>
      </c>
      <c r="M152" s="27">
        <f t="shared" si="104"/>
        <v>2.7503265000757695</v>
      </c>
      <c r="N152" s="27">
        <f t="shared" si="104"/>
        <v>2.5511469454908737</v>
      </c>
      <c r="O152" s="27">
        <f t="shared" si="104"/>
        <v>2.2837302068693375</v>
      </c>
      <c r="P152" s="27">
        <f t="shared" si="104"/>
        <v>1.9691731957164338</v>
      </c>
      <c r="Q152" s="27">
        <f t="shared" si="104"/>
        <v>1.6401258623754629</v>
      </c>
      <c r="R152" s="27">
        <f t="shared" si="104"/>
        <v>1.3327420974734618</v>
      </c>
      <c r="S152" s="27">
        <f t="shared" si="104"/>
        <v>1.0789230824899594</v>
      </c>
      <c r="T152" s="27">
        <f t="shared" si="104"/>
        <v>0.9016272825702494</v>
      </c>
      <c r="U152" s="27">
        <f t="shared" si="104"/>
        <v>0.8131315399678201</v>
      </c>
      <c r="V152" s="27">
        <f t="shared" si="104"/>
        <v>0.8152553499450734</v>
      </c>
      <c r="W152" s="27">
        <f t="shared" si="104"/>
        <v>0.900799555107386</v>
      </c>
      <c r="X152" s="27">
        <f t="shared" si="104"/>
        <v>1.0557638233058118</v>
      </c>
      <c r="Y152" s="27">
        <f t="shared" si="104"/>
        <v>1.2620102544240916</v>
      </c>
      <c r="Z152" s="28">
        <f t="shared" si="104"/>
        <v>1.5</v>
      </c>
    </row>
    <row r="153" spans="1:26" ht="15.75">
      <c r="A153" s="132" t="s">
        <v>22</v>
      </c>
      <c r="B153" s="33">
        <f>B49-B58*(B152-B48)</f>
        <v>0.214229088106755</v>
      </c>
      <c r="C153" s="27">
        <f aca="true" t="shared" si="105" ref="C153:Z153">C49-C58*(C152-C48)</f>
        <v>0.2444951327260185</v>
      </c>
      <c r="D153" s="27">
        <f t="shared" si="105"/>
        <v>0.30493238455547395</v>
      </c>
      <c r="E153" s="27">
        <f t="shared" si="105"/>
        <v>0.3539714765291818</v>
      </c>
      <c r="F153" s="27">
        <f t="shared" si="105"/>
        <v>0.3803469895554642</v>
      </c>
      <c r="G153" s="27">
        <f t="shared" si="105"/>
        <v>0.37556563637247253</v>
      </c>
      <c r="H153" s="27">
        <f t="shared" si="105"/>
        <v>0.3318080979091796</v>
      </c>
      <c r="I153" s="27">
        <f t="shared" si="105"/>
        <v>0.24257268964438194</v>
      </c>
      <c r="J153" s="27">
        <f t="shared" si="105"/>
        <v>0.10532521921995192</v>
      </c>
      <c r="K153" s="27">
        <f t="shared" si="105"/>
        <v>-0.07310595117653516</v>
      </c>
      <c r="L153" s="27">
        <f t="shared" si="105"/>
        <v>-0.26970054780729635</v>
      </c>
      <c r="M153" s="27">
        <f t="shared" si="105"/>
        <v>-0.4435981879016158</v>
      </c>
      <c r="N153" s="27">
        <f t="shared" si="105"/>
        <v>-0.5495791087289887</v>
      </c>
      <c r="O153" s="27">
        <f t="shared" si="105"/>
        <v>-0.5639033560683792</v>
      </c>
      <c r="P153" s="27">
        <f t="shared" si="105"/>
        <v>-0.49812096379580195</v>
      </c>
      <c r="Q153" s="27">
        <f t="shared" si="105"/>
        <v>-0.38651620800715786</v>
      </c>
      <c r="R153" s="27">
        <f t="shared" si="105"/>
        <v>-0.26458975264353557</v>
      </c>
      <c r="S153" s="27">
        <f t="shared" si="105"/>
        <v>-0.1569260281353258</v>
      </c>
      <c r="T153" s="27">
        <f t="shared" si="105"/>
        <v>-0.07496540468900323</v>
      </c>
      <c r="U153" s="27">
        <f t="shared" si="105"/>
        <v>-0.019173781628410037</v>
      </c>
      <c r="V153" s="27">
        <f t="shared" si="105"/>
        <v>0.017936658805227868</v>
      </c>
      <c r="W153" s="27">
        <f t="shared" si="105"/>
        <v>0.049218009727226335</v>
      </c>
      <c r="X153" s="27">
        <f t="shared" si="105"/>
        <v>0.08811658169920776</v>
      </c>
      <c r="Y153" s="27">
        <f t="shared" si="105"/>
        <v>0.14054204041695142</v>
      </c>
      <c r="Z153" s="28">
        <f t="shared" si="105"/>
        <v>0.2035758929500077</v>
      </c>
    </row>
    <row r="154" spans="1:26" ht="15.75">
      <c r="A154" s="132" t="s">
        <v>23</v>
      </c>
      <c r="B154" s="33">
        <f>B50+B58*(B151-B47)</f>
        <v>0.9453693596300301</v>
      </c>
      <c r="C154" s="27">
        <f aca="true" t="shared" si="106" ref="C154:Z154">C50+C58*(C151-C47)</f>
        <v>0.9633498763534831</v>
      </c>
      <c r="D154" s="27">
        <f t="shared" si="106"/>
        <v>1.0646507227027437</v>
      </c>
      <c r="E154" s="27">
        <f t="shared" si="106"/>
        <v>1.0925486655140557</v>
      </c>
      <c r="F154" s="27">
        <f t="shared" si="106"/>
        <v>1.0408551425876817</v>
      </c>
      <c r="G154" s="27">
        <f t="shared" si="106"/>
        <v>0.9189972967211393</v>
      </c>
      <c r="H154" s="27">
        <f t="shared" si="106"/>
        <v>0.7367634529426349</v>
      </c>
      <c r="I154" s="27">
        <f t="shared" si="106"/>
        <v>0.4996800097650069</v>
      </c>
      <c r="J154" s="27">
        <f t="shared" si="106"/>
        <v>0.20754812465999606</v>
      </c>
      <c r="K154" s="27">
        <f t="shared" si="106"/>
        <v>-0.14338989902404656</v>
      </c>
      <c r="L154" s="27">
        <f t="shared" si="106"/>
        <v>-0.5518038081646185</v>
      </c>
      <c r="M154" s="27">
        <f t="shared" si="106"/>
        <v>-0.9939020233813719</v>
      </c>
      <c r="N154" s="27">
        <f t="shared" si="106"/>
        <v>-1.406057718249864</v>
      </c>
      <c r="O154" s="27">
        <f t="shared" si="106"/>
        <v>-1.6919927896867666</v>
      </c>
      <c r="P154" s="27">
        <f t="shared" si="106"/>
        <v>-1.7660889369071988</v>
      </c>
      <c r="Q154" s="27">
        <f t="shared" si="106"/>
        <v>-1.6027900782578104</v>
      </c>
      <c r="R154" s="27">
        <f t="shared" si="106"/>
        <v>-1.253791889181595</v>
      </c>
      <c r="S154" s="27">
        <f t="shared" si="106"/>
        <v>-0.8238626775203823</v>
      </c>
      <c r="T154" s="27">
        <f t="shared" si="106"/>
        <v>-0.4212748654678229</v>
      </c>
      <c r="U154" s="27">
        <f t="shared" si="106"/>
        <v>-0.11135965973655176</v>
      </c>
      <c r="V154" s="27">
        <f t="shared" si="106"/>
        <v>0.1040929511673182</v>
      </c>
      <c r="W154" s="27">
        <f t="shared" si="106"/>
        <v>0.276671161434104</v>
      </c>
      <c r="X154" s="27">
        <f t="shared" si="106"/>
        <v>0.4668153922041628</v>
      </c>
      <c r="Y154" s="27">
        <f t="shared" si="106"/>
        <v>0.685711933565487</v>
      </c>
      <c r="Z154" s="28">
        <f t="shared" si="106"/>
        <v>0.8983579832928948</v>
      </c>
    </row>
    <row r="155" spans="1:26" ht="15.75">
      <c r="A155" s="132" t="s">
        <v>24</v>
      </c>
      <c r="B155" s="33">
        <f>B51-B60*(B152-B48)-(B58^2)*(B151-B47)</f>
        <v>0.0508938236088404</v>
      </c>
      <c r="C155" s="27">
        <f aca="true" t="shared" si="107" ref="C155:L155">C51-C60*(C152-C48)-(C58^2)*(C151-C47)</f>
        <v>0.1392261239548041</v>
      </c>
      <c r="D155" s="27">
        <f t="shared" si="107"/>
        <v>0.12289671046115648</v>
      </c>
      <c r="E155" s="27">
        <f t="shared" si="107"/>
        <v>0.06785948249637103</v>
      </c>
      <c r="F155" s="27">
        <f t="shared" si="107"/>
        <v>-0.042569095847564506</v>
      </c>
      <c r="G155" s="27">
        <f t="shared" si="107"/>
        <v>-0.24093066544641625</v>
      </c>
      <c r="H155" s="27">
        <f t="shared" si="107"/>
        <v>-0.5502786604039932</v>
      </c>
      <c r="I155" s="27">
        <f t="shared" si="107"/>
        <v>-0.9598498528798628</v>
      </c>
      <c r="J155" s="27">
        <f t="shared" si="107"/>
        <v>-1.4076366786961285</v>
      </c>
      <c r="K155" s="27">
        <f t="shared" si="107"/>
        <v>-1.7767715372532158</v>
      </c>
      <c r="L155" s="27">
        <f t="shared" si="107"/>
        <v>-1.9169787574147263</v>
      </c>
      <c r="M155" s="27">
        <f>M51-M60*(M152-M48)-(M58^2)*(M151-M47)</f>
        <v>-1.7116019566741463</v>
      </c>
      <c r="N155" s="27">
        <f aca="true" t="shared" si="108" ref="N155:Z155">N51-N60*(N152-N48)-N58^2*(N151-N47)</f>
        <v>-1.1802607596910843</v>
      </c>
      <c r="O155" s="27">
        <f t="shared" si="108"/>
        <v>-0.5140826584212652</v>
      </c>
      <c r="P155" s="27">
        <f t="shared" si="108"/>
        <v>0.040923298727861886</v>
      </c>
      <c r="Q155" s="27">
        <f t="shared" si="108"/>
        <v>0.34094344033094526</v>
      </c>
      <c r="R155" s="27">
        <f t="shared" si="108"/>
        <v>0.39582422487033164</v>
      </c>
      <c r="S155" s="27">
        <f t="shared" si="108"/>
        <v>0.31175385077916135</v>
      </c>
      <c r="T155" s="27">
        <f t="shared" si="108"/>
        <v>0.1985249044193074</v>
      </c>
      <c r="U155" s="27">
        <f t="shared" si="108"/>
        <v>0.11606221581010091</v>
      </c>
      <c r="V155" s="27">
        <f t="shared" si="108"/>
        <v>0.07920902235141827</v>
      </c>
      <c r="W155" s="27">
        <f t="shared" si="108"/>
        <v>0.08234829286784699</v>
      </c>
      <c r="X155" s="27">
        <f t="shared" si="108"/>
        <v>0.11103255168784407</v>
      </c>
      <c r="Y155" s="27">
        <f t="shared" si="108"/>
        <v>0.1441045719220301</v>
      </c>
      <c r="Z155" s="28">
        <f t="shared" si="108"/>
        <v>0.16358102449906672</v>
      </c>
    </row>
    <row r="156" spans="1:26" ht="15.75">
      <c r="A156" s="132" t="s">
        <v>25</v>
      </c>
      <c r="B156" s="33">
        <f>B52+B60*(B151-B47)-B58^2*(B152-B48)</f>
        <v>0.21110162135720223</v>
      </c>
      <c r="C156" s="27">
        <f aca="true" t="shared" si="109" ref="C156:Z156">C52+C60*(C151-C47)-C58^2*(C152-C48)</f>
        <v>0.5310606227525306</v>
      </c>
      <c r="D156" s="27">
        <f t="shared" si="109"/>
        <v>0.24558131488608217</v>
      </c>
      <c r="E156" s="27">
        <f t="shared" si="109"/>
        <v>-0.18184619842878022</v>
      </c>
      <c r="F156" s="27">
        <f t="shared" si="109"/>
        <v>-0.6148331819230834</v>
      </c>
      <c r="G156" s="27">
        <f t="shared" si="109"/>
        <v>-0.971264948533743</v>
      </c>
      <c r="H156" s="27">
        <f t="shared" si="109"/>
        <v>-1.2216195612965137</v>
      </c>
      <c r="I156" s="27">
        <f t="shared" si="109"/>
        <v>-1.3900918273489395</v>
      </c>
      <c r="J156" s="27">
        <f t="shared" si="109"/>
        <v>-1.5364670644507226</v>
      </c>
      <c r="K156" s="27">
        <f t="shared" si="109"/>
        <v>-1.7093273098062547</v>
      </c>
      <c r="L156" s="27">
        <f t="shared" si="109"/>
        <v>-1.8706540624967916</v>
      </c>
      <c r="M156" s="27">
        <f t="shared" si="109"/>
        <v>-1.841874648813261</v>
      </c>
      <c r="N156" s="27">
        <f t="shared" si="109"/>
        <v>-1.3849993545915122</v>
      </c>
      <c r="O156" s="27">
        <f t="shared" si="109"/>
        <v>-0.44157436261798017</v>
      </c>
      <c r="P156" s="27">
        <f t="shared" si="109"/>
        <v>0.7093222269352394</v>
      </c>
      <c r="Q156" s="27">
        <f t="shared" si="109"/>
        <v>1.5973771554539444</v>
      </c>
      <c r="R156" s="27">
        <f t="shared" si="109"/>
        <v>1.8934535428972712</v>
      </c>
      <c r="S156" s="27">
        <f t="shared" si="109"/>
        <v>1.6289731066629272</v>
      </c>
      <c r="T156" s="27">
        <f t="shared" si="109"/>
        <v>1.1139021299447032</v>
      </c>
      <c r="U156" s="27">
        <f t="shared" si="109"/>
        <v>0.6687983209531619</v>
      </c>
      <c r="V156" s="27">
        <f t="shared" si="109"/>
        <v>0.45037279537400277</v>
      </c>
      <c r="W156" s="27">
        <f t="shared" si="109"/>
        <v>0.45892804910391644</v>
      </c>
      <c r="X156" s="27">
        <f t="shared" si="109"/>
        <v>0.6027213465038731</v>
      </c>
      <c r="Y156" s="27">
        <f t="shared" si="109"/>
        <v>0.738786548793084</v>
      </c>
      <c r="Z156" s="28">
        <f t="shared" si="109"/>
        <v>0.734191350729864</v>
      </c>
    </row>
    <row r="157" spans="1:26" ht="15.75">
      <c r="A157" s="132" t="s">
        <v>129</v>
      </c>
      <c r="B157" s="33">
        <f>$E$11+$F$11*B58+$G$11*B58^2</f>
        <v>0.9442121355204881</v>
      </c>
      <c r="C157" s="27">
        <f aca="true" t="shared" si="110" ref="C157:Z157">$E$11+$F$11*C58+$G$11*C58^2</f>
        <v>0.93664338477614</v>
      </c>
      <c r="D157" s="27">
        <f t="shared" si="110"/>
        <v>0.9219677722910091</v>
      </c>
      <c r="E157" s="27">
        <f t="shared" si="110"/>
        <v>0.9102726766333883</v>
      </c>
      <c r="F157" s="27">
        <f t="shared" si="110"/>
        <v>0.9039057037211143</v>
      </c>
      <c r="G157" s="27">
        <f t="shared" si="110"/>
        <v>0.9046207309240497</v>
      </c>
      <c r="H157" s="27">
        <f t="shared" si="110"/>
        <v>0.9144087834279052</v>
      </c>
      <c r="I157" s="27">
        <f t="shared" si="110"/>
        <v>0.9357089941948852</v>
      </c>
      <c r="J157" s="27">
        <f t="shared" si="110"/>
        <v>0.9710051575638501</v>
      </c>
      <c r="K157" s="27">
        <f t="shared" si="110"/>
        <v>1.0210569501697435</v>
      </c>
      <c r="L157" s="27">
        <f t="shared" si="110"/>
        <v>1.0812879296259834</v>
      </c>
      <c r="M157" s="27">
        <f t="shared" si="110"/>
        <v>1.1385620324141108</v>
      </c>
      <c r="N157" s="27">
        <f t="shared" si="110"/>
        <v>1.1747021582981108</v>
      </c>
      <c r="O157" s="27">
        <f t="shared" si="110"/>
        <v>1.1786344725235998</v>
      </c>
      <c r="P157" s="27">
        <f t="shared" si="110"/>
        <v>1.1545997830842742</v>
      </c>
      <c r="Q157" s="27">
        <f t="shared" si="110"/>
        <v>1.1164497285844732</v>
      </c>
      <c r="R157" s="27">
        <f t="shared" si="110"/>
        <v>1.0772569900204243</v>
      </c>
      <c r="S157" s="27">
        <f t="shared" si="110"/>
        <v>1.0445776401439462</v>
      </c>
      <c r="T157" s="27">
        <f t="shared" si="110"/>
        <v>1.020854189873418</v>
      </c>
      <c r="U157" s="27">
        <f t="shared" si="110"/>
        <v>1.005259141423667</v>
      </c>
      <c r="V157" s="27">
        <f t="shared" si="110"/>
        <v>0.9951242093305669</v>
      </c>
      <c r="W157" s="27">
        <f t="shared" si="110"/>
        <v>0.9867139522755256</v>
      </c>
      <c r="X157" s="27">
        <f t="shared" si="110"/>
        <v>0.9764106630348656</v>
      </c>
      <c r="Y157" s="27">
        <f t="shared" si="110"/>
        <v>0.9627969681222556</v>
      </c>
      <c r="Z157" s="28">
        <f t="shared" si="110"/>
        <v>0.9468407914344024</v>
      </c>
    </row>
    <row r="158" spans="1:26" ht="15.75">
      <c r="A158" s="132" t="s">
        <v>130</v>
      </c>
      <c r="B158" s="33">
        <f>$E$12+$F$12*B58+$G$12*B58^2</f>
        <v>0.4515991770777542</v>
      </c>
      <c r="C158" s="27">
        <f aca="true" t="shared" si="111" ref="C158:Z158">$E$12+$F$12*C58+$G$12*C58^2</f>
        <v>0.4450236455212394</v>
      </c>
      <c r="D158" s="27">
        <f t="shared" si="111"/>
        <v>0.4322666436439669</v>
      </c>
      <c r="E158" s="27">
        <f t="shared" si="111"/>
        <v>0.4220931073732271</v>
      </c>
      <c r="F158" s="27">
        <f t="shared" si="111"/>
        <v>0.4165515003446134</v>
      </c>
      <c r="G158" s="27">
        <f t="shared" si="111"/>
        <v>0.417173946853463</v>
      </c>
      <c r="H158" s="27">
        <f t="shared" si="111"/>
        <v>0.4256918885152432</v>
      </c>
      <c r="I158" s="27">
        <f t="shared" si="111"/>
        <v>0.4442117015195457</v>
      </c>
      <c r="J158" s="27">
        <f t="shared" si="111"/>
        <v>0.47485799512352495</v>
      </c>
      <c r="K158" s="27">
        <f t="shared" si="111"/>
        <v>0.5182430229621866</v>
      </c>
      <c r="L158" s="27">
        <f t="shared" si="111"/>
        <v>0.5703636634723075</v>
      </c>
      <c r="M158" s="27">
        <f t="shared" si="111"/>
        <v>0.6198566028843615</v>
      </c>
      <c r="N158" s="27">
        <f t="shared" si="111"/>
        <v>0.6510585447144124</v>
      </c>
      <c r="O158" s="27">
        <f t="shared" si="111"/>
        <v>0.6544523747872968</v>
      </c>
      <c r="P158" s="27">
        <f t="shared" si="111"/>
        <v>0.633705422170302</v>
      </c>
      <c r="Q158" s="27">
        <f t="shared" si="111"/>
        <v>0.6007554155634534</v>
      </c>
      <c r="R158" s="27">
        <f t="shared" si="111"/>
        <v>0.5668780262697911</v>
      </c>
      <c r="S158" s="27">
        <f t="shared" si="111"/>
        <v>0.5386066401643569</v>
      </c>
      <c r="T158" s="27">
        <f t="shared" si="111"/>
        <v>0.5180674166419545</v>
      </c>
      <c r="U158" s="27">
        <f t="shared" si="111"/>
        <v>0.5045575165974658</v>
      </c>
      <c r="V158" s="27">
        <f t="shared" si="111"/>
        <v>0.4957739594692489</v>
      </c>
      <c r="W158" s="27">
        <f t="shared" si="111"/>
        <v>0.48848274655436724</v>
      </c>
      <c r="X158" s="27">
        <f t="shared" si="111"/>
        <v>0.4795472991832737</v>
      </c>
      <c r="Y158" s="27">
        <f t="shared" si="111"/>
        <v>0.4677353878951562</v>
      </c>
      <c r="Z158" s="28">
        <f t="shared" si="111"/>
        <v>0.4538823246914159</v>
      </c>
    </row>
    <row r="159" spans="1:26" ht="15.75">
      <c r="A159" s="132" t="s">
        <v>131</v>
      </c>
      <c r="B159" s="33">
        <f>$E$13+$F$13*B58+$G$13*B58^2</f>
        <v>0.042517903200417914</v>
      </c>
      <c r="C159" s="27">
        <f aca="true" t="shared" si="112" ref="C159:Z159">$E$13+$F$13*C58+$G$13*C58^2</f>
        <v>0.03442288237943816</v>
      </c>
      <c r="D159" s="27">
        <f t="shared" si="112"/>
        <v>0.018488725019056334</v>
      </c>
      <c r="E159" s="27">
        <f t="shared" si="112"/>
        <v>0.0055466682349779965</v>
      </c>
      <c r="F159" s="27">
        <f t="shared" si="112"/>
        <v>-0.0015979113305117</v>
      </c>
      <c r="G159" s="27">
        <f t="shared" si="112"/>
        <v>-0.0007919273394956057</v>
      </c>
      <c r="H159" s="27">
        <f t="shared" si="112"/>
        <v>0.010149898392840959</v>
      </c>
      <c r="I159" s="27">
        <f t="shared" si="112"/>
        <v>0.033417910366176654</v>
      </c>
      <c r="J159" s="27">
        <f t="shared" si="112"/>
        <v>0.07057149031406015</v>
      </c>
      <c r="K159" s="27">
        <f t="shared" si="112"/>
        <v>0.120847933067235</v>
      </c>
      <c r="L159" s="27">
        <f t="shared" si="112"/>
        <v>0.1784540369090023</v>
      </c>
      <c r="M159" s="27">
        <f t="shared" si="112"/>
        <v>0.23095580055446732</v>
      </c>
      <c r="N159" s="27">
        <f t="shared" si="112"/>
        <v>0.26315240654775646</v>
      </c>
      <c r="O159" s="27">
        <f t="shared" si="112"/>
        <v>0.26661692632944206</v>
      </c>
      <c r="P159" s="27">
        <f t="shared" si="112"/>
        <v>0.2453249184940003</v>
      </c>
      <c r="Q159" s="27">
        <f t="shared" si="112"/>
        <v>0.21091620466250074</v>
      </c>
      <c r="R159" s="27">
        <f t="shared" si="112"/>
        <v>0.17468194233939494</v>
      </c>
      <c r="S159" s="27">
        <f t="shared" si="112"/>
        <v>0.14367625745086232</v>
      </c>
      <c r="T159" s="27">
        <f t="shared" si="112"/>
        <v>0.1206491086781631</v>
      </c>
      <c r="U159" s="27">
        <f t="shared" si="112"/>
        <v>0.1052457444231615</v>
      </c>
      <c r="V159" s="27">
        <f t="shared" si="112"/>
        <v>0.09511248496156656</v>
      </c>
      <c r="W159" s="27">
        <f t="shared" si="112"/>
        <v>0.08662555348961197</v>
      </c>
      <c r="X159" s="27">
        <f t="shared" si="112"/>
        <v>0.07612657328574148</v>
      </c>
      <c r="Y159" s="27">
        <f t="shared" si="112"/>
        <v>0.06207148036589985</v>
      </c>
      <c r="Z159" s="28">
        <f t="shared" si="112"/>
        <v>0.04531087122721764</v>
      </c>
    </row>
    <row r="160" spans="1:26" ht="16.5" thickBot="1">
      <c r="A160" s="133" t="s">
        <v>132</v>
      </c>
      <c r="B160" s="34">
        <f aca="true" t="shared" si="113" ref="B160:Z160">B157*B153+B158*B154+B159*B58</f>
        <v>0.6275370921999157</v>
      </c>
      <c r="C160" s="29">
        <f t="shared" si="113"/>
        <v>0.6561716278796936</v>
      </c>
      <c r="D160" s="29">
        <f t="shared" si="113"/>
        <v>0.7403110474574778</v>
      </c>
      <c r="E160" s="29">
        <f t="shared" si="113"/>
        <v>0.783004258717765</v>
      </c>
      <c r="F160" s="29">
        <f t="shared" si="113"/>
        <v>0.7774806110592526</v>
      </c>
      <c r="G160" s="29">
        <f t="shared" si="113"/>
        <v>0.7231817412151331</v>
      </c>
      <c r="H160" s="29">
        <f t="shared" si="113"/>
        <v>0.6164109067113526</v>
      </c>
      <c r="I160" s="29">
        <f t="shared" si="113"/>
        <v>0.44741603683304315</v>
      </c>
      <c r="J160" s="29">
        <f t="shared" si="113"/>
        <v>0.19942598153993646</v>
      </c>
      <c r="K160" s="29">
        <f t="shared" si="113"/>
        <v>-0.1472903123251528</v>
      </c>
      <c r="L160" s="29">
        <f t="shared" si="113"/>
        <v>-0.5972950091535719</v>
      </c>
      <c r="M160" s="29">
        <f t="shared" si="113"/>
        <v>-1.101935653539959</v>
      </c>
      <c r="N160" s="29">
        <f t="shared" si="113"/>
        <v>-1.5340528492577257</v>
      </c>
      <c r="O160" s="29">
        <f t="shared" si="113"/>
        <v>-1.744097052789139</v>
      </c>
      <c r="P160" s="29">
        <f t="shared" si="113"/>
        <v>-1.6717837125235784</v>
      </c>
      <c r="Q160" s="29">
        <f t="shared" si="113"/>
        <v>-1.3794513238129003</v>
      </c>
      <c r="R160" s="29">
        <f t="shared" si="113"/>
        <v>-0.9873265274562125</v>
      </c>
      <c r="S160" s="29">
        <f t="shared" si="113"/>
        <v>-0.6035464750438468</v>
      </c>
      <c r="T160" s="29">
        <f t="shared" si="113"/>
        <v>-0.29313016045739815</v>
      </c>
      <c r="U160" s="29">
        <f t="shared" si="113"/>
        <v>-0.07509468018404336</v>
      </c>
      <c r="V160" s="29">
        <f t="shared" si="113"/>
        <v>0.06914526057607846</v>
      </c>
      <c r="W160" s="29">
        <f t="shared" si="113"/>
        <v>0.18293662964042923</v>
      </c>
      <c r="X160" s="29">
        <f t="shared" si="113"/>
        <v>0.3086746326394459</v>
      </c>
      <c r="Y160" s="29">
        <f t="shared" si="113"/>
        <v>0.4544511051001256</v>
      </c>
      <c r="Z160" s="30">
        <f t="shared" si="113"/>
        <v>0.5988129494027105</v>
      </c>
    </row>
    <row r="161" spans="2:26" ht="16.5" thickBot="1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6.5" thickBot="1">
      <c r="A162" s="159" t="s">
        <v>142</v>
      </c>
      <c r="B162" s="16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6.5" thickBot="1">
      <c r="A163" s="134" t="s">
        <v>144</v>
      </c>
      <c r="B163" s="136"/>
      <c r="C163" s="135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>
      <c r="A164" s="137" t="s">
        <v>148</v>
      </c>
      <c r="B164" s="33">
        <f>B157+B129</f>
        <v>0.9815616944060472</v>
      </c>
      <c r="C164" s="27">
        <f aca="true" t="shared" si="114" ref="C164:Z164">C157+C129</f>
        <v>1.0382659407932509</v>
      </c>
      <c r="D164" s="25">
        <f t="shared" si="114"/>
        <v>0.8990317666206695</v>
      </c>
      <c r="E164" s="25">
        <f t="shared" si="114"/>
        <v>0.7399507265591617</v>
      </c>
      <c r="F164" s="25">
        <f t="shared" si="114"/>
        <v>0.6184789638816015</v>
      </c>
      <c r="G164" s="25">
        <f t="shared" si="114"/>
        <v>0.5527108981583666</v>
      </c>
      <c r="H164" s="25">
        <f t="shared" si="114"/>
        <v>0.5303403404492107</v>
      </c>
      <c r="I164" s="25">
        <f t="shared" si="114"/>
        <v>0.5275202650557184</v>
      </c>
      <c r="J164" s="25">
        <f t="shared" si="114"/>
        <v>0.5330571904381536</v>
      </c>
      <c r="K164" s="25">
        <f t="shared" si="114"/>
        <v>0.5672191058985749</v>
      </c>
      <c r="L164" s="25">
        <f t="shared" si="114"/>
        <v>0.6808437972324897</v>
      </c>
      <c r="M164" s="25">
        <f t="shared" si="114"/>
        <v>0.9163741487948407</v>
      </c>
      <c r="N164" s="25">
        <f t="shared" si="114"/>
        <v>1.24110751702252</v>
      </c>
      <c r="O164" s="25">
        <f t="shared" si="114"/>
        <v>1.5308244772490185</v>
      </c>
      <c r="P164" s="25">
        <f t="shared" si="114"/>
        <v>1.6581525164704742</v>
      </c>
      <c r="Q164" s="25">
        <f t="shared" si="114"/>
        <v>1.596707960359438</v>
      </c>
      <c r="R164" s="25">
        <f t="shared" si="114"/>
        <v>1.430091346539959</v>
      </c>
      <c r="S164" s="25">
        <f t="shared" si="114"/>
        <v>1.2685479332414253</v>
      </c>
      <c r="T164" s="25">
        <f t="shared" si="114"/>
        <v>1.1660465318905315</v>
      </c>
      <c r="U164" s="25">
        <f t="shared" si="114"/>
        <v>1.1168302466374593</v>
      </c>
      <c r="V164" s="25">
        <f t="shared" si="114"/>
        <v>1.1024605620064205</v>
      </c>
      <c r="W164" s="25">
        <f t="shared" si="114"/>
        <v>1.1156771856580807</v>
      </c>
      <c r="X164" s="25">
        <f t="shared" si="114"/>
        <v>1.1444579312988834</v>
      </c>
      <c r="Y164" s="25">
        <f t="shared" si="114"/>
        <v>1.1519955802266575</v>
      </c>
      <c r="Z164" s="26">
        <f t="shared" si="114"/>
        <v>1.0961594139318445</v>
      </c>
    </row>
    <row r="165" spans="1:26" ht="15.75">
      <c r="A165" s="137" t="s">
        <v>149</v>
      </c>
      <c r="B165" s="33">
        <f>$K$5+B158+B130</f>
        <v>14.499503550639629</v>
      </c>
      <c r="C165" s="27">
        <f aca="true" t="shared" si="115" ref="C165:Z165">$K$5+C158+C130</f>
        <v>14.965037542740887</v>
      </c>
      <c r="D165" s="27">
        <f t="shared" si="115"/>
        <v>14.597373735683496</v>
      </c>
      <c r="E165" s="27">
        <f t="shared" si="115"/>
        <v>14.024357002603116</v>
      </c>
      <c r="F165" s="27">
        <f t="shared" si="115"/>
        <v>13.403618845408229</v>
      </c>
      <c r="G165" s="27">
        <f t="shared" si="115"/>
        <v>12.81851394174628</v>
      </c>
      <c r="H165" s="27">
        <f t="shared" si="115"/>
        <v>12.296282376449982</v>
      </c>
      <c r="I165" s="27">
        <f t="shared" si="115"/>
        <v>11.819991618837498</v>
      </c>
      <c r="J165" s="27">
        <f t="shared" si="115"/>
        <v>11.359788253323254</v>
      </c>
      <c r="K165" s="27">
        <f t="shared" si="115"/>
        <v>10.930228238532893</v>
      </c>
      <c r="L165" s="27">
        <f t="shared" si="115"/>
        <v>10.666743444462455</v>
      </c>
      <c r="M165" s="27">
        <f t="shared" si="115"/>
        <v>10.85271136394896</v>
      </c>
      <c r="N165" s="27">
        <f t="shared" si="115"/>
        <v>11.769532082520138</v>
      </c>
      <c r="O165" s="27">
        <f t="shared" si="115"/>
        <v>13.388980154821187</v>
      </c>
      <c r="P165" s="27">
        <f t="shared" si="115"/>
        <v>15.227265621305442</v>
      </c>
      <c r="Q165" s="27">
        <f t="shared" si="115"/>
        <v>16.590916546858093</v>
      </c>
      <c r="R165" s="27">
        <f t="shared" si="115"/>
        <v>17.03101677086383</v>
      </c>
      <c r="S165" s="27">
        <f t="shared" si="115"/>
        <v>16.627829372669016</v>
      </c>
      <c r="T165" s="27">
        <f t="shared" si="115"/>
        <v>15.855952035389253</v>
      </c>
      <c r="U165" s="27">
        <f t="shared" si="115"/>
        <v>15.1915108809104</v>
      </c>
      <c r="V165" s="27">
        <f t="shared" si="115"/>
        <v>14.861498377455643</v>
      </c>
      <c r="W165" s="27">
        <f t="shared" si="115"/>
        <v>14.860815479807751</v>
      </c>
      <c r="X165" s="27">
        <f t="shared" si="115"/>
        <v>15.054204945381954</v>
      </c>
      <c r="Y165" s="27">
        <f t="shared" si="115"/>
        <v>15.243062610338793</v>
      </c>
      <c r="Z165" s="28">
        <f t="shared" si="115"/>
        <v>15.249674656956362</v>
      </c>
    </row>
    <row r="166" spans="1:26" ht="15.75">
      <c r="A166" s="137" t="s">
        <v>150</v>
      </c>
      <c r="B166" s="33">
        <f>B159+B131-B157*(B152-B48)-B129*(B122-B48)+B158*(B151-B47)+(B130+$K$5)*(B121-B47)</f>
        <v>3.4405140884742424</v>
      </c>
      <c r="C166" s="27">
        <f aca="true" t="shared" si="116" ref="C166:Z166">C159+C131-C157*(C152-C48)-C129*(C122-C48)+C158*(C151-C47)+(C130+$K$5)*(C121-C47)</f>
        <v>3.9985165874876483</v>
      </c>
      <c r="D166" s="27">
        <f t="shared" si="116"/>
        <v>4.634125897777571</v>
      </c>
      <c r="E166" s="27">
        <f t="shared" si="116"/>
        <v>5.214378559209091</v>
      </c>
      <c r="F166" s="27">
        <f t="shared" si="116"/>
        <v>5.705004226631754</v>
      </c>
      <c r="G166" s="27">
        <f t="shared" si="116"/>
        <v>6.138711934421686</v>
      </c>
      <c r="H166" s="27">
        <f t="shared" si="116"/>
        <v>6.564512550242797</v>
      </c>
      <c r="I166" s="27">
        <f t="shared" si="116"/>
        <v>6.977095203478755</v>
      </c>
      <c r="J166" s="27">
        <f t="shared" si="116"/>
        <v>7.267581914416958</v>
      </c>
      <c r="K166" s="27">
        <f t="shared" si="116"/>
        <v>7.23757452834858</v>
      </c>
      <c r="L166" s="27">
        <f t="shared" si="116"/>
        <v>6.706971408009444</v>
      </c>
      <c r="M166" s="27">
        <f t="shared" si="116"/>
        <v>5.6932568334610885</v>
      </c>
      <c r="N166" s="27">
        <f t="shared" si="116"/>
        <v>4.511180703048835</v>
      </c>
      <c r="O166" s="27">
        <f t="shared" si="116"/>
        <v>3.596637585746331</v>
      </c>
      <c r="P166" s="27">
        <f t="shared" si="116"/>
        <v>3.1647333482583395</v>
      </c>
      <c r="Q166" s="27">
        <f t="shared" si="116"/>
        <v>3.076694263922832</v>
      </c>
      <c r="R166" s="27">
        <f t="shared" si="116"/>
        <v>3.0237382892721083</v>
      </c>
      <c r="S166" s="27">
        <f t="shared" si="116"/>
        <v>2.815142287424722</v>
      </c>
      <c r="T166" s="27">
        <f t="shared" si="116"/>
        <v>2.5028586148994894</v>
      </c>
      <c r="U166" s="27">
        <f t="shared" si="116"/>
        <v>2.256058362844385</v>
      </c>
      <c r="V166" s="27">
        <f t="shared" si="116"/>
        <v>2.1822754252215635</v>
      </c>
      <c r="W166" s="27">
        <f t="shared" si="116"/>
        <v>2.2882610251925355</v>
      </c>
      <c r="X166" s="27">
        <f t="shared" si="116"/>
        <v>2.5479367326773295</v>
      </c>
      <c r="Y166" s="27">
        <f t="shared" si="116"/>
        <v>2.95600639850114</v>
      </c>
      <c r="Z166" s="28">
        <f t="shared" si="116"/>
        <v>3.505102677235808</v>
      </c>
    </row>
    <row r="167" spans="1:26" ht="15.75">
      <c r="A167" s="137" t="s">
        <v>146</v>
      </c>
      <c r="B167" s="33">
        <f>B164*B49+B165*B50+B166*B58</f>
        <v>14.425922541003777</v>
      </c>
      <c r="C167" s="27">
        <f aca="true" t="shared" si="117" ref="C167:Z167">C164*C49+C165*C50+C166*C58</f>
        <v>15.2859649236118</v>
      </c>
      <c r="D167" s="27">
        <f t="shared" si="117"/>
        <v>16.616320934072363</v>
      </c>
      <c r="E167" s="27">
        <f t="shared" si="117"/>
        <v>16.541639272859975</v>
      </c>
      <c r="F167" s="27">
        <f t="shared" si="117"/>
        <v>15.225973477147248</v>
      </c>
      <c r="G167" s="27">
        <f t="shared" si="117"/>
        <v>13.003217536074901</v>
      </c>
      <c r="H167" s="27">
        <f t="shared" si="117"/>
        <v>10.104929496485614</v>
      </c>
      <c r="I167" s="27">
        <f t="shared" si="117"/>
        <v>6.638822144504943</v>
      </c>
      <c r="J167" s="27">
        <f t="shared" si="117"/>
        <v>2.65933762502255</v>
      </c>
      <c r="K167" s="27">
        <f t="shared" si="117"/>
        <v>-1.7658545515859414</v>
      </c>
      <c r="L167" s="27">
        <f t="shared" si="117"/>
        <v>-6.6027666519049255</v>
      </c>
      <c r="M167" s="27">
        <f t="shared" si="117"/>
        <v>-12.022876616421565</v>
      </c>
      <c r="N167" s="27">
        <f t="shared" si="117"/>
        <v>-18.270960062485916</v>
      </c>
      <c r="O167" s="27">
        <f t="shared" si="117"/>
        <v>-24.678112949130778</v>
      </c>
      <c r="P167" s="27">
        <f t="shared" si="117"/>
        <v>-28.865206966844887</v>
      </c>
      <c r="Q167" s="27">
        <f t="shared" si="117"/>
        <v>-28.177170772154124</v>
      </c>
      <c r="R167" s="27">
        <f t="shared" si="117"/>
        <v>-22.41294150256729</v>
      </c>
      <c r="S167" s="27">
        <f t="shared" si="117"/>
        <v>-14.290811852864104</v>
      </c>
      <c r="T167" s="27">
        <f t="shared" si="117"/>
        <v>-6.944288953240523</v>
      </c>
      <c r="U167" s="27">
        <f t="shared" si="117"/>
        <v>-1.7561840589344742</v>
      </c>
      <c r="V167" s="27">
        <f t="shared" si="117"/>
        <v>1.6060701785434344</v>
      </c>
      <c r="W167" s="27">
        <f t="shared" si="117"/>
        <v>4.274856848462113</v>
      </c>
      <c r="X167" s="27">
        <f t="shared" si="117"/>
        <v>7.327261280306826</v>
      </c>
      <c r="Y167" s="27">
        <f t="shared" si="117"/>
        <v>10.943554323394302</v>
      </c>
      <c r="Z167" s="28">
        <f t="shared" si="117"/>
        <v>14.42202819344236</v>
      </c>
    </row>
    <row r="168" spans="1:26" ht="16.5" thickBot="1">
      <c r="A168" s="72" t="s">
        <v>26</v>
      </c>
      <c r="B168" s="73">
        <f>B167-B160-B132-B133</f>
        <v>9.43689570931383E-16</v>
      </c>
      <c r="C168" s="74">
        <f aca="true" t="shared" si="118" ref="C168:Z168">C167-C160-C132-C133</f>
        <v>0</v>
      </c>
      <c r="D168" s="74">
        <f t="shared" si="118"/>
        <v>0</v>
      </c>
      <c r="E168" s="74">
        <f t="shared" si="118"/>
        <v>-2.9698465908722937E-15</v>
      </c>
      <c r="F168" s="74">
        <f t="shared" si="118"/>
        <v>0</v>
      </c>
      <c r="G168" s="74">
        <f t="shared" si="118"/>
        <v>0</v>
      </c>
      <c r="H168" s="74">
        <f t="shared" si="118"/>
        <v>0</v>
      </c>
      <c r="I168" s="74">
        <f t="shared" si="118"/>
        <v>0</v>
      </c>
      <c r="J168" s="74">
        <f t="shared" si="118"/>
        <v>0</v>
      </c>
      <c r="K168" s="74">
        <f t="shared" si="118"/>
        <v>0</v>
      </c>
      <c r="L168" s="74">
        <f t="shared" si="118"/>
        <v>0</v>
      </c>
      <c r="M168" s="74">
        <f t="shared" si="118"/>
        <v>0</v>
      </c>
      <c r="N168" s="74">
        <f t="shared" si="118"/>
        <v>0</v>
      </c>
      <c r="O168" s="74">
        <f t="shared" si="118"/>
        <v>0</v>
      </c>
      <c r="P168" s="74">
        <f t="shared" si="118"/>
        <v>-3.1086244689504383E-15</v>
      </c>
      <c r="Q168" s="74">
        <f t="shared" si="118"/>
        <v>0</v>
      </c>
      <c r="R168" s="74">
        <f t="shared" si="118"/>
        <v>0</v>
      </c>
      <c r="S168" s="74">
        <f t="shared" si="118"/>
        <v>0</v>
      </c>
      <c r="T168" s="74">
        <f t="shared" si="118"/>
        <v>0</v>
      </c>
      <c r="U168" s="74">
        <f t="shared" si="118"/>
        <v>2.3592239273284576E-16</v>
      </c>
      <c r="V168" s="74">
        <f t="shared" si="118"/>
        <v>0</v>
      </c>
      <c r="W168" s="74">
        <f t="shared" si="118"/>
        <v>7.771561172376096E-16</v>
      </c>
      <c r="X168" s="74">
        <f t="shared" si="118"/>
        <v>9.43689570931383E-16</v>
      </c>
      <c r="Y168" s="74">
        <f t="shared" si="118"/>
        <v>-1.7763568394002505E-15</v>
      </c>
      <c r="Z168" s="75">
        <f t="shared" si="118"/>
        <v>0</v>
      </c>
    </row>
    <row r="169" spans="2:26" ht="16.5" thickBot="1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7" ht="16.5" thickBot="1">
      <c r="A170" s="159" t="s">
        <v>145</v>
      </c>
      <c r="B170" s="160"/>
      <c r="C170" s="161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65"/>
    </row>
    <row r="171" spans="1:27" ht="15.75">
      <c r="A171" s="138" t="s">
        <v>151</v>
      </c>
      <c r="B171" s="32">
        <f>B164+B114</f>
        <v>0.9815616944060472</v>
      </c>
      <c r="C171" s="25">
        <f aca="true" t="shared" si="119" ref="C171:Z171">C164+C114</f>
        <v>1.0382659407932509</v>
      </c>
      <c r="D171" s="25">
        <f t="shared" si="119"/>
        <v>0.8990317666206695</v>
      </c>
      <c r="E171" s="25">
        <f t="shared" si="119"/>
        <v>0.7399507265591617</v>
      </c>
      <c r="F171" s="25">
        <f t="shared" si="119"/>
        <v>0.6184789638816015</v>
      </c>
      <c r="G171" s="25">
        <f t="shared" si="119"/>
        <v>0.5527108981583666</v>
      </c>
      <c r="H171" s="25">
        <f t="shared" si="119"/>
        <v>0.5303403404492107</v>
      </c>
      <c r="I171" s="25">
        <f t="shared" si="119"/>
        <v>0.5275202650557184</v>
      </c>
      <c r="J171" s="25">
        <f t="shared" si="119"/>
        <v>0.5330571904381536</v>
      </c>
      <c r="K171" s="25">
        <f t="shared" si="119"/>
        <v>0.5672191058985749</v>
      </c>
      <c r="L171" s="25">
        <f t="shared" si="119"/>
        <v>0.6808437972324897</v>
      </c>
      <c r="M171" s="25">
        <f t="shared" si="119"/>
        <v>0.9163741487948407</v>
      </c>
      <c r="N171" s="25">
        <f t="shared" si="119"/>
        <v>1.24110751702252</v>
      </c>
      <c r="O171" s="25">
        <f t="shared" si="119"/>
        <v>1.5308244772490185</v>
      </c>
      <c r="P171" s="25">
        <f t="shared" si="119"/>
        <v>1.6581525164704742</v>
      </c>
      <c r="Q171" s="25">
        <f t="shared" si="119"/>
        <v>1.596707960359438</v>
      </c>
      <c r="R171" s="25">
        <f t="shared" si="119"/>
        <v>1.430091346539959</v>
      </c>
      <c r="S171" s="25">
        <f t="shared" si="119"/>
        <v>1.2685479332414253</v>
      </c>
      <c r="T171" s="25">
        <f t="shared" si="119"/>
        <v>1.1660465318905315</v>
      </c>
      <c r="U171" s="25">
        <f t="shared" si="119"/>
        <v>1.1168302466374593</v>
      </c>
      <c r="V171" s="25">
        <f t="shared" si="119"/>
        <v>1.1024605620064205</v>
      </c>
      <c r="W171" s="25">
        <f t="shared" si="119"/>
        <v>1.1156771856580807</v>
      </c>
      <c r="X171" s="25">
        <f t="shared" si="119"/>
        <v>1.1444579312988834</v>
      </c>
      <c r="Y171" s="25">
        <f t="shared" si="119"/>
        <v>1.1519955802266575</v>
      </c>
      <c r="Z171" s="26">
        <f t="shared" si="119"/>
        <v>1.0961594139318445</v>
      </c>
      <c r="AA171" s="65"/>
    </row>
    <row r="172" spans="1:27" ht="15.75">
      <c r="A172" s="137" t="s">
        <v>152</v>
      </c>
      <c r="B172" s="33">
        <f>B165+B115+$K$4+B166*B58/B50</f>
        <v>24.409177731713257</v>
      </c>
      <c r="C172" s="27">
        <f aca="true" t="shared" si="120" ref="C172:Z172">C165+C115+$K$4+C166*C58/C50</f>
        <v>25.18406848201875</v>
      </c>
      <c r="D172" s="27">
        <f t="shared" si="120"/>
        <v>24.533512507660806</v>
      </c>
      <c r="E172" s="27">
        <f t="shared" si="120"/>
        <v>23.51868042038181</v>
      </c>
      <c r="F172" s="27">
        <f t="shared" si="120"/>
        <v>22.393854701158087</v>
      </c>
      <c r="G172" s="27">
        <f t="shared" si="120"/>
        <v>21.28402830631486</v>
      </c>
      <c r="H172" s="27">
        <f t="shared" si="120"/>
        <v>20.225596877155116</v>
      </c>
      <c r="I172" s="27">
        <f t="shared" si="120"/>
        <v>19.20021285153281</v>
      </c>
      <c r="J172" s="27">
        <f t="shared" si="120"/>
        <v>18.198522875530852</v>
      </c>
      <c r="K172" s="27">
        <f t="shared" si="120"/>
        <v>17.314366590404532</v>
      </c>
      <c r="L172" s="27">
        <f t="shared" si="120"/>
        <v>16.847215853420035</v>
      </c>
      <c r="M172" s="27">
        <f t="shared" si="120"/>
        <v>17.30149116949875</v>
      </c>
      <c r="N172" s="27">
        <f t="shared" si="120"/>
        <v>19.104303080053548</v>
      </c>
      <c r="O172" s="27">
        <f t="shared" si="120"/>
        <v>22.116448211688983</v>
      </c>
      <c r="P172" s="27">
        <f t="shared" si="120"/>
        <v>25.448085026429062</v>
      </c>
      <c r="Q172" s="27">
        <f t="shared" si="120"/>
        <v>27.899759327224874</v>
      </c>
      <c r="R172" s="27">
        <f t="shared" si="120"/>
        <v>28.717794085799614</v>
      </c>
      <c r="S172" s="27">
        <f t="shared" si="120"/>
        <v>28.059469450994143</v>
      </c>
      <c r="T172" s="27">
        <f t="shared" si="120"/>
        <v>26.7526636814435</v>
      </c>
      <c r="U172" s="27">
        <f t="shared" si="120"/>
        <v>25.62127846493138</v>
      </c>
      <c r="V172" s="27">
        <f t="shared" si="120"/>
        <v>25.057606195060142</v>
      </c>
      <c r="W172" s="27">
        <f t="shared" si="120"/>
        <v>25.054167611815586</v>
      </c>
      <c r="X172" s="27">
        <f t="shared" si="120"/>
        <v>25.380015344428852</v>
      </c>
      <c r="Y172" s="27">
        <f t="shared" si="120"/>
        <v>25.695693111910998</v>
      </c>
      <c r="Z172" s="28">
        <f t="shared" si="120"/>
        <v>25.69766525556686</v>
      </c>
      <c r="AA172" s="65"/>
    </row>
    <row r="173" spans="1:27" ht="15.75">
      <c r="A173" s="137" t="s">
        <v>153</v>
      </c>
      <c r="B173" s="33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8">
        <v>0</v>
      </c>
      <c r="AA173" s="65"/>
    </row>
    <row r="174" spans="1:27" ht="15.75">
      <c r="A174" s="137" t="s">
        <v>147</v>
      </c>
      <c r="B174" s="33">
        <f>B171*B49+B50*B172</f>
        <v>24.512615198531957</v>
      </c>
      <c r="C174" s="27">
        <f aca="true" t="shared" si="121" ref="C174:Z174">C171*C49+C50*C172</f>
        <v>26.0264709828992</v>
      </c>
      <c r="D174" s="27">
        <f t="shared" si="121"/>
        <v>28.36472911755554</v>
      </c>
      <c r="E174" s="27">
        <f t="shared" si="121"/>
        <v>28.31330294321813</v>
      </c>
      <c r="F174" s="27">
        <f t="shared" si="121"/>
        <v>26.11272349530919</v>
      </c>
      <c r="G174" s="27">
        <f t="shared" si="121"/>
        <v>22.305706515618198</v>
      </c>
      <c r="H174" s="27">
        <f t="shared" si="121"/>
        <v>17.293004349719734</v>
      </c>
      <c r="I174" s="27">
        <f t="shared" si="121"/>
        <v>11.30123545262346</v>
      </c>
      <c r="J174" s="27">
        <f t="shared" si="121"/>
        <v>4.491465511923583</v>
      </c>
      <c r="K174" s="27">
        <f t="shared" si="121"/>
        <v>-2.955295860342019</v>
      </c>
      <c r="L174" s="27">
        <f t="shared" si="121"/>
        <v>-10.96618231704729</v>
      </c>
      <c r="M174" s="27">
        <f t="shared" si="121"/>
        <v>-19.92171426835359</v>
      </c>
      <c r="N174" s="27">
        <f t="shared" si="121"/>
        <v>-30.407750028630257</v>
      </c>
      <c r="O174" s="27">
        <f t="shared" si="121"/>
        <v>-41.38526317352373</v>
      </c>
      <c r="P174" s="27">
        <f t="shared" si="121"/>
        <v>-48.72571710809769</v>
      </c>
      <c r="Q174" s="27">
        <f t="shared" si="121"/>
        <v>-47.750495701332966</v>
      </c>
      <c r="R174" s="27">
        <f t="shared" si="121"/>
        <v>-38.039514836366045</v>
      </c>
      <c r="S174" s="27">
        <f t="shared" si="121"/>
        <v>-24.251739951123124</v>
      </c>
      <c r="T174" s="27">
        <f t="shared" si="121"/>
        <v>-11.774284312176794</v>
      </c>
      <c r="U174" s="27">
        <f t="shared" si="121"/>
        <v>-2.975175124348701</v>
      </c>
      <c r="V174" s="27">
        <f t="shared" si="121"/>
        <v>2.7199678936064746</v>
      </c>
      <c r="W174" s="27">
        <f t="shared" si="121"/>
        <v>7.241656425965052</v>
      </c>
      <c r="X174" s="27">
        <f t="shared" si="121"/>
        <v>12.422126248777694</v>
      </c>
      <c r="Y174" s="27">
        <f t="shared" si="121"/>
        <v>18.575852726816855</v>
      </c>
      <c r="Z174" s="28">
        <f t="shared" si="121"/>
        <v>24.523252785572822</v>
      </c>
      <c r="AA174" s="65"/>
    </row>
    <row r="175" spans="1:27" ht="16.5" thickBot="1">
      <c r="A175" s="72" t="s">
        <v>26</v>
      </c>
      <c r="B175" s="73">
        <f>B174-B167-B117-B118</f>
        <v>1.915134717478395E-15</v>
      </c>
      <c r="C175" s="74">
        <f aca="true" t="shared" si="122" ref="C175:Z175">C174-C167-C117-C118</f>
        <v>0</v>
      </c>
      <c r="D175" s="74">
        <f t="shared" si="122"/>
        <v>2.3869795029440866E-15</v>
      </c>
      <c r="E175" s="74">
        <f t="shared" si="122"/>
        <v>-1.1379786002407855E-15</v>
      </c>
      <c r="F175" s="74">
        <f t="shared" si="122"/>
        <v>2.3314683517128287E-15</v>
      </c>
      <c r="G175" s="74">
        <f t="shared" si="122"/>
        <v>6.994405055138486E-15</v>
      </c>
      <c r="H175" s="74">
        <f t="shared" si="122"/>
        <v>2.220446049250313E-15</v>
      </c>
      <c r="I175" s="74">
        <f t="shared" si="122"/>
        <v>0</v>
      </c>
      <c r="J175" s="74">
        <f t="shared" si="122"/>
        <v>0</v>
      </c>
      <c r="K175" s="74">
        <f t="shared" si="122"/>
        <v>0</v>
      </c>
      <c r="L175" s="74">
        <f t="shared" si="122"/>
        <v>0</v>
      </c>
      <c r="M175" s="74">
        <f t="shared" si="122"/>
        <v>0</v>
      </c>
      <c r="N175" s="74">
        <f t="shared" si="122"/>
        <v>0</v>
      </c>
      <c r="O175" s="74">
        <f t="shared" si="122"/>
        <v>-7.993605777301127E-15</v>
      </c>
      <c r="P175" s="74">
        <f t="shared" si="122"/>
        <v>-4.218847493575595E-15</v>
      </c>
      <c r="Q175" s="74">
        <f t="shared" si="122"/>
        <v>5.773159728050814E-15</v>
      </c>
      <c r="R175" s="74">
        <f t="shared" si="122"/>
        <v>4.884981308350689E-15</v>
      </c>
      <c r="S175" s="74">
        <f t="shared" si="122"/>
        <v>0</v>
      </c>
      <c r="T175" s="74">
        <f t="shared" si="122"/>
        <v>-2.7755575615628914E-15</v>
      </c>
      <c r="U175" s="74">
        <f t="shared" si="122"/>
        <v>0</v>
      </c>
      <c r="V175" s="74">
        <f t="shared" si="122"/>
        <v>-1.0408340855860843E-16</v>
      </c>
      <c r="W175" s="74">
        <f t="shared" si="122"/>
        <v>-7.494005416219807E-16</v>
      </c>
      <c r="X175" s="74">
        <f t="shared" si="122"/>
        <v>-1.27675647831893E-15</v>
      </c>
      <c r="Y175" s="74">
        <f t="shared" si="122"/>
        <v>0</v>
      </c>
      <c r="Z175" s="75">
        <f t="shared" si="122"/>
        <v>2.220446049250313E-15</v>
      </c>
      <c r="AA175" s="65"/>
    </row>
    <row r="176" spans="1:27" ht="16.5" thickBot="1">
      <c r="A176" s="65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65"/>
    </row>
    <row r="177" spans="1:26" ht="16.5" thickBot="1">
      <c r="A177" s="159" t="s">
        <v>163</v>
      </c>
      <c r="B177" s="160"/>
      <c r="C177" s="16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>
      <c r="A178" s="138" t="s">
        <v>154</v>
      </c>
      <c r="B178" s="32">
        <f aca="true" t="shared" si="123" ref="B178:Z178">B171+B99</f>
        <v>-0.26824792453944224</v>
      </c>
      <c r="C178" s="25">
        <f t="shared" si="123"/>
        <v>-0.35877531497017734</v>
      </c>
      <c r="D178" s="25">
        <f t="shared" si="123"/>
        <v>-1.3219852538335761</v>
      </c>
      <c r="E178" s="25">
        <f t="shared" si="123"/>
        <v>-2.0224576832975605</v>
      </c>
      <c r="F178" s="25">
        <f t="shared" si="123"/>
        <v>-2.0566488777356993</v>
      </c>
      <c r="G178" s="25">
        <f t="shared" si="123"/>
        <v>-1.2610982804446191</v>
      </c>
      <c r="H178" s="25">
        <f t="shared" si="123"/>
        <v>0.28452194549284715</v>
      </c>
      <c r="I178" s="25">
        <f t="shared" si="123"/>
        <v>2.300595701666451</v>
      </c>
      <c r="J178" s="25">
        <f t="shared" si="123"/>
        <v>4.400211705035531</v>
      </c>
      <c r="K178" s="25">
        <f t="shared" si="123"/>
        <v>6.202823367375618</v>
      </c>
      <c r="L178" s="25">
        <f t="shared" si="123"/>
        <v>7.432201087711581</v>
      </c>
      <c r="M178" s="25">
        <f t="shared" si="123"/>
        <v>7.95147362830768</v>
      </c>
      <c r="N178" s="25">
        <f t="shared" si="123"/>
        <v>7.718650139493942</v>
      </c>
      <c r="O178" s="25">
        <f t="shared" si="123"/>
        <v>6.74060095746262</v>
      </c>
      <c r="P178" s="25">
        <f t="shared" si="123"/>
        <v>5.137373414682468</v>
      </c>
      <c r="Q178" s="25">
        <f t="shared" si="123"/>
        <v>3.2694241833407576</v>
      </c>
      <c r="R178" s="25">
        <f t="shared" si="123"/>
        <v>1.6882338740710596</v>
      </c>
      <c r="S178" s="25">
        <f t="shared" si="123"/>
        <v>0.8044483698959884</v>
      </c>
      <c r="T178" s="25">
        <f t="shared" si="123"/>
        <v>0.607973439200885</v>
      </c>
      <c r="U178" s="25">
        <f t="shared" si="123"/>
        <v>0.7862061614547426</v>
      </c>
      <c r="V178" s="25">
        <f t="shared" si="123"/>
        <v>1.039303311853195</v>
      </c>
      <c r="W178" s="25">
        <f t="shared" si="123"/>
        <v>1.2088304139638129</v>
      </c>
      <c r="X178" s="25">
        <f t="shared" si="123"/>
        <v>1.188002120691172</v>
      </c>
      <c r="Y178" s="25">
        <f t="shared" si="123"/>
        <v>0.8369067031985664</v>
      </c>
      <c r="Z178" s="26">
        <f t="shared" si="123"/>
        <v>0.06756423630789765</v>
      </c>
    </row>
    <row r="179" spans="1:26" ht="15.75">
      <c r="A179" s="137" t="s">
        <v>156</v>
      </c>
      <c r="B179" s="33">
        <f aca="true" t="shared" si="124" ref="B179:Z179">B172+B100+$K$3</f>
        <v>49.20502370932883</v>
      </c>
      <c r="C179" s="27">
        <f t="shared" si="124"/>
        <v>50.77476944626666</v>
      </c>
      <c r="D179" s="27">
        <f t="shared" si="124"/>
        <v>49.294174119531384</v>
      </c>
      <c r="E179" s="27">
        <f t="shared" si="124"/>
        <v>47.00594983107089</v>
      </c>
      <c r="F179" s="27">
        <f t="shared" si="124"/>
        <v>44.47912567194203</v>
      </c>
      <c r="G179" s="27">
        <f t="shared" si="124"/>
        <v>42.06190210594063</v>
      </c>
      <c r="H179" s="27">
        <f t="shared" si="124"/>
        <v>39.94471712885341</v>
      </c>
      <c r="I179" s="27">
        <f t="shared" si="124"/>
        <v>38.19331549988365</v>
      </c>
      <c r="J179" s="27">
        <f t="shared" si="124"/>
        <v>36.83370491025918</v>
      </c>
      <c r="K179" s="27">
        <f t="shared" si="124"/>
        <v>35.99190528774332</v>
      </c>
      <c r="L179" s="27">
        <f t="shared" si="124"/>
        <v>36.05710195775628</v>
      </c>
      <c r="M179" s="27">
        <f t="shared" si="124"/>
        <v>37.69546210776402</v>
      </c>
      <c r="N179" s="27">
        <f t="shared" si="124"/>
        <v>41.43326666545099</v>
      </c>
      <c r="O179" s="27">
        <f t="shared" si="124"/>
        <v>46.915677309560536</v>
      </c>
      <c r="P179" s="27">
        <f t="shared" si="124"/>
        <v>52.62455040413144</v>
      </c>
      <c r="Q179" s="27">
        <f t="shared" si="124"/>
        <v>56.58354557838214</v>
      </c>
      <c r="R179" s="27">
        <f t="shared" si="124"/>
        <v>57.60986368156638</v>
      </c>
      <c r="S179" s="27">
        <f t="shared" si="124"/>
        <v>56.09704877862683</v>
      </c>
      <c r="T179" s="27">
        <f t="shared" si="124"/>
        <v>53.56969657298164</v>
      </c>
      <c r="U179" s="27">
        <f t="shared" si="124"/>
        <v>51.48863335052708</v>
      </c>
      <c r="V179" s="27">
        <f t="shared" si="124"/>
        <v>50.51716493500102</v>
      </c>
      <c r="W179" s="27">
        <f t="shared" si="124"/>
        <v>50.60182302815815</v>
      </c>
      <c r="X179" s="27">
        <f t="shared" si="124"/>
        <v>51.2880381935296</v>
      </c>
      <c r="Y179" s="27">
        <f t="shared" si="124"/>
        <v>51.914318090912204</v>
      </c>
      <c r="Z179" s="28">
        <f t="shared" si="124"/>
        <v>51.8730321803137</v>
      </c>
    </row>
    <row r="180" spans="1:26" ht="15.75">
      <c r="A180" s="137" t="s">
        <v>155</v>
      </c>
      <c r="B180" s="33">
        <f aca="true" t="shared" si="125" ref="B180:Z180">B173+B101-B171*(B48-B32)-B99*(B92-B32)+B172*(B47-B31)+(B100+$K$3)*(B91-B31)</f>
        <v>39.23669136611927</v>
      </c>
      <c r="C180" s="27">
        <f t="shared" si="125"/>
        <v>41.930394043885364</v>
      </c>
      <c r="D180" s="27">
        <f t="shared" si="125"/>
        <v>42.843681354474775</v>
      </c>
      <c r="E180" s="27">
        <f t="shared" si="125"/>
        <v>45.211764965931884</v>
      </c>
      <c r="F180" s="27">
        <f t="shared" si="125"/>
        <v>49.53507689584029</v>
      </c>
      <c r="G180" s="27">
        <f t="shared" si="125"/>
        <v>55.65662359813138</v>
      </c>
      <c r="H180" s="27">
        <f t="shared" si="125"/>
        <v>62.85586636775878</v>
      </c>
      <c r="I180" s="27">
        <f t="shared" si="125"/>
        <v>70.03163471734746</v>
      </c>
      <c r="J180" s="27">
        <f t="shared" si="125"/>
        <v>76.12617492716818</v>
      </c>
      <c r="K180" s="27">
        <f t="shared" si="125"/>
        <v>80.76110790216156</v>
      </c>
      <c r="L180" s="27">
        <f t="shared" si="125"/>
        <v>84.87088083754674</v>
      </c>
      <c r="M180" s="27">
        <f t="shared" si="125"/>
        <v>90.6425852174416</v>
      </c>
      <c r="N180" s="27">
        <f t="shared" si="125"/>
        <v>99.83786616207689</v>
      </c>
      <c r="O180" s="27">
        <f t="shared" si="125"/>
        <v>111.17920704346471</v>
      </c>
      <c r="P180" s="27">
        <f t="shared" si="125"/>
        <v>119.87885993161296</v>
      </c>
      <c r="Q180" s="27">
        <f t="shared" si="125"/>
        <v>120.81826402119066</v>
      </c>
      <c r="R180" s="27">
        <f t="shared" si="125"/>
        <v>112.61277722876193</v>
      </c>
      <c r="S180" s="27">
        <f t="shared" si="125"/>
        <v>98.52309715089216</v>
      </c>
      <c r="T180" s="27">
        <f t="shared" si="125"/>
        <v>83.42315513414268</v>
      </c>
      <c r="U180" s="27">
        <f t="shared" si="125"/>
        <v>70.4520204406892</v>
      </c>
      <c r="V180" s="27">
        <f t="shared" si="125"/>
        <v>60.440847613092586</v>
      </c>
      <c r="W180" s="27">
        <f t="shared" si="125"/>
        <v>53.12021039824156</v>
      </c>
      <c r="X180" s="27">
        <f t="shared" si="125"/>
        <v>47.97345717389914</v>
      </c>
      <c r="Y180" s="27">
        <f t="shared" si="125"/>
        <v>44.41323289605353</v>
      </c>
      <c r="Z180" s="28">
        <f t="shared" si="125"/>
        <v>42.022987520460916</v>
      </c>
    </row>
    <row r="181" spans="1:26" ht="15.75">
      <c r="A181" s="137" t="s">
        <v>157</v>
      </c>
      <c r="B181" s="33">
        <f aca="true" t="shared" si="126" ref="B181:Z181">B178*B33+B179*B34+B180*B42</f>
        <v>49.37443205397114</v>
      </c>
      <c r="C181" s="27">
        <f t="shared" si="126"/>
        <v>51.820726104682066</v>
      </c>
      <c r="D181" s="27">
        <f t="shared" si="126"/>
        <v>55.74727326185872</v>
      </c>
      <c r="E181" s="27">
        <f t="shared" si="126"/>
        <v>54.616763488336076</v>
      </c>
      <c r="F181" s="27">
        <f t="shared" si="126"/>
        <v>48.642930346237534</v>
      </c>
      <c r="G181" s="27">
        <f t="shared" si="126"/>
        <v>38.757869379798265</v>
      </c>
      <c r="H181" s="27">
        <f t="shared" si="126"/>
        <v>25.955056404170662</v>
      </c>
      <c r="I181" s="27">
        <f t="shared" si="126"/>
        <v>11.264296217535165</v>
      </c>
      <c r="J181" s="27">
        <f t="shared" si="126"/>
        <v>-4.24067830872486</v>
      </c>
      <c r="K181" s="27">
        <f t="shared" si="126"/>
        <v>-19.610968385909434</v>
      </c>
      <c r="L181" s="27">
        <f t="shared" si="126"/>
        <v>-34.4591419171298</v>
      </c>
      <c r="M181" s="27">
        <f t="shared" si="126"/>
        <v>-49.43289564969048</v>
      </c>
      <c r="N181" s="27">
        <f t="shared" si="126"/>
        <v>-65.49895631490085</v>
      </c>
      <c r="O181" s="27">
        <f t="shared" si="126"/>
        <v>-80.96636325143182</v>
      </c>
      <c r="P181" s="27">
        <f t="shared" si="126"/>
        <v>-89.5000810085061</v>
      </c>
      <c r="Q181" s="27">
        <f t="shared" si="126"/>
        <v>-84.25754092091285</v>
      </c>
      <c r="R181" s="27">
        <f t="shared" si="126"/>
        <v>-65.18785048700164</v>
      </c>
      <c r="S181" s="27">
        <f t="shared" si="126"/>
        <v>-40.113457700020646</v>
      </c>
      <c r="T181" s="27">
        <f t="shared" si="126"/>
        <v>-17.85436560258722</v>
      </c>
      <c r="U181" s="27">
        <f t="shared" si="126"/>
        <v>-2.2259942649295237</v>
      </c>
      <c r="V181" s="27">
        <f t="shared" si="126"/>
        <v>7.96506357059125</v>
      </c>
      <c r="W181" s="27">
        <f t="shared" si="126"/>
        <v>16.347196893944222</v>
      </c>
      <c r="X181" s="27">
        <f t="shared" si="126"/>
        <v>26.282233475751468</v>
      </c>
      <c r="Y181" s="27">
        <f t="shared" si="126"/>
        <v>38.130147704562916</v>
      </c>
      <c r="Z181" s="28">
        <f t="shared" si="126"/>
        <v>49.4601375994101</v>
      </c>
    </row>
    <row r="182" spans="1:26" ht="16.5" thickBot="1">
      <c r="A182" s="72" t="s">
        <v>26</v>
      </c>
      <c r="B182" s="73">
        <f aca="true" t="shared" si="127" ref="B182:Z182">B181-B174-B102-B103</f>
        <v>1.2101430968414206E-14</v>
      </c>
      <c r="C182" s="74">
        <f t="shared" si="127"/>
        <v>2.4424906541753444E-15</v>
      </c>
      <c r="D182" s="74">
        <f t="shared" si="127"/>
        <v>0</v>
      </c>
      <c r="E182" s="74">
        <f t="shared" si="127"/>
        <v>-3.9968028886505635E-15</v>
      </c>
      <c r="F182" s="74">
        <f t="shared" si="127"/>
        <v>-2.220446049250313E-15</v>
      </c>
      <c r="G182" s="74">
        <f t="shared" si="127"/>
        <v>-3.885780586188048E-15</v>
      </c>
      <c r="H182" s="74">
        <f t="shared" si="127"/>
        <v>-5.773159728050814E-15</v>
      </c>
      <c r="I182" s="74">
        <f t="shared" si="127"/>
        <v>3.552713678800501E-15</v>
      </c>
      <c r="J182" s="74">
        <f t="shared" si="127"/>
        <v>0</v>
      </c>
      <c r="K182" s="74">
        <f t="shared" si="127"/>
        <v>2.220446049250313E-16</v>
      </c>
      <c r="L182" s="74">
        <f t="shared" si="127"/>
        <v>0</v>
      </c>
      <c r="M182" s="74">
        <f t="shared" si="127"/>
        <v>5.329070518200751E-15</v>
      </c>
      <c r="N182" s="74">
        <f t="shared" si="127"/>
        <v>-9.769962616701378E-15</v>
      </c>
      <c r="O182" s="74">
        <f t="shared" si="127"/>
        <v>-4.884981308350689E-15</v>
      </c>
      <c r="P182" s="74">
        <f t="shared" si="127"/>
        <v>0</v>
      </c>
      <c r="Q182" s="74">
        <f t="shared" si="127"/>
        <v>0</v>
      </c>
      <c r="R182" s="74">
        <f t="shared" si="127"/>
        <v>-7.105427357601002E-15</v>
      </c>
      <c r="S182" s="74">
        <f t="shared" si="127"/>
        <v>0</v>
      </c>
      <c r="T182" s="74">
        <f t="shared" si="127"/>
        <v>0</v>
      </c>
      <c r="U182" s="74">
        <f t="shared" si="127"/>
        <v>7.494005416219807E-16</v>
      </c>
      <c r="V182" s="74">
        <f t="shared" si="127"/>
        <v>-6.106226635438361E-16</v>
      </c>
      <c r="W182" s="74">
        <f t="shared" si="127"/>
        <v>-5.551115123125783E-16</v>
      </c>
      <c r="X182" s="74">
        <f t="shared" si="127"/>
        <v>5.218048215738236E-15</v>
      </c>
      <c r="Y182" s="74">
        <f t="shared" si="127"/>
        <v>3.3306690738754696E-15</v>
      </c>
      <c r="Z182" s="75">
        <f t="shared" si="127"/>
        <v>-7.105427357601002E-15</v>
      </c>
    </row>
    <row r="183" spans="2:26" ht="16.5" thickBot="1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3" ht="16.5" thickBot="1">
      <c r="A184" s="159" t="s">
        <v>200</v>
      </c>
      <c r="B184" s="160"/>
      <c r="C184" s="161"/>
    </row>
    <row r="185" spans="1:26" ht="15.75">
      <c r="A185" s="139" t="s">
        <v>196</v>
      </c>
      <c r="B185" s="32">
        <f>B178</f>
        <v>-0.26824792453944224</v>
      </c>
      <c r="C185" s="25">
        <f aca="true" t="shared" si="128" ref="C185:Z185">C178</f>
        <v>-0.35877531497017734</v>
      </c>
      <c r="D185" s="25">
        <f t="shared" si="128"/>
        <v>-1.3219852538335761</v>
      </c>
      <c r="E185" s="25">
        <f t="shared" si="128"/>
        <v>-2.0224576832975605</v>
      </c>
      <c r="F185" s="25">
        <f t="shared" si="128"/>
        <v>-2.0566488777356993</v>
      </c>
      <c r="G185" s="25">
        <f t="shared" si="128"/>
        <v>-1.2610982804446191</v>
      </c>
      <c r="H185" s="25">
        <f t="shared" si="128"/>
        <v>0.28452194549284715</v>
      </c>
      <c r="I185" s="25">
        <f t="shared" si="128"/>
        <v>2.300595701666451</v>
      </c>
      <c r="J185" s="25">
        <f t="shared" si="128"/>
        <v>4.400211705035531</v>
      </c>
      <c r="K185" s="25">
        <f t="shared" si="128"/>
        <v>6.202823367375618</v>
      </c>
      <c r="L185" s="25">
        <f t="shared" si="128"/>
        <v>7.432201087711581</v>
      </c>
      <c r="M185" s="25">
        <f t="shared" si="128"/>
        <v>7.95147362830768</v>
      </c>
      <c r="N185" s="25">
        <f t="shared" si="128"/>
        <v>7.718650139493942</v>
      </c>
      <c r="O185" s="25">
        <f t="shared" si="128"/>
        <v>6.74060095746262</v>
      </c>
      <c r="P185" s="25">
        <f t="shared" si="128"/>
        <v>5.137373414682468</v>
      </c>
      <c r="Q185" s="25">
        <f t="shared" si="128"/>
        <v>3.2694241833407576</v>
      </c>
      <c r="R185" s="25">
        <f t="shared" si="128"/>
        <v>1.6882338740710596</v>
      </c>
      <c r="S185" s="25">
        <f t="shared" si="128"/>
        <v>0.8044483698959884</v>
      </c>
      <c r="T185" s="25">
        <f t="shared" si="128"/>
        <v>0.607973439200885</v>
      </c>
      <c r="U185" s="25">
        <f t="shared" si="128"/>
        <v>0.7862061614547426</v>
      </c>
      <c r="V185" s="25">
        <f t="shared" si="128"/>
        <v>1.039303311853195</v>
      </c>
      <c r="W185" s="25">
        <f t="shared" si="128"/>
        <v>1.2088304139638129</v>
      </c>
      <c r="X185" s="25">
        <f t="shared" si="128"/>
        <v>1.188002120691172</v>
      </c>
      <c r="Y185" s="25">
        <f t="shared" si="128"/>
        <v>0.8369067031985664</v>
      </c>
      <c r="Z185" s="26">
        <f t="shared" si="128"/>
        <v>0.06756423630789765</v>
      </c>
    </row>
    <row r="186" spans="1:26" ht="15.75">
      <c r="A186" s="140" t="s">
        <v>197</v>
      </c>
      <c r="B186" s="33">
        <f>B179</f>
        <v>49.20502370932883</v>
      </c>
      <c r="C186" s="27">
        <f aca="true" t="shared" si="129" ref="C186:Z186">C179</f>
        <v>50.77476944626666</v>
      </c>
      <c r="D186" s="27">
        <f t="shared" si="129"/>
        <v>49.294174119531384</v>
      </c>
      <c r="E186" s="27">
        <f t="shared" si="129"/>
        <v>47.00594983107089</v>
      </c>
      <c r="F186" s="27">
        <f t="shared" si="129"/>
        <v>44.47912567194203</v>
      </c>
      <c r="G186" s="27">
        <f t="shared" si="129"/>
        <v>42.06190210594063</v>
      </c>
      <c r="H186" s="27">
        <f t="shared" si="129"/>
        <v>39.94471712885341</v>
      </c>
      <c r="I186" s="27">
        <f t="shared" si="129"/>
        <v>38.19331549988365</v>
      </c>
      <c r="J186" s="27">
        <f t="shared" si="129"/>
        <v>36.83370491025918</v>
      </c>
      <c r="K186" s="27">
        <f t="shared" si="129"/>
        <v>35.99190528774332</v>
      </c>
      <c r="L186" s="27">
        <f t="shared" si="129"/>
        <v>36.05710195775628</v>
      </c>
      <c r="M186" s="27">
        <f t="shared" si="129"/>
        <v>37.69546210776402</v>
      </c>
      <c r="N186" s="27">
        <f t="shared" si="129"/>
        <v>41.43326666545099</v>
      </c>
      <c r="O186" s="27">
        <f t="shared" si="129"/>
        <v>46.915677309560536</v>
      </c>
      <c r="P186" s="27">
        <f t="shared" si="129"/>
        <v>52.62455040413144</v>
      </c>
      <c r="Q186" s="27">
        <f t="shared" si="129"/>
        <v>56.58354557838214</v>
      </c>
      <c r="R186" s="27">
        <f t="shared" si="129"/>
        <v>57.60986368156638</v>
      </c>
      <c r="S186" s="27">
        <f t="shared" si="129"/>
        <v>56.09704877862683</v>
      </c>
      <c r="T186" s="27">
        <f t="shared" si="129"/>
        <v>53.56969657298164</v>
      </c>
      <c r="U186" s="27">
        <f t="shared" si="129"/>
        <v>51.48863335052708</v>
      </c>
      <c r="V186" s="27">
        <f t="shared" si="129"/>
        <v>50.51716493500102</v>
      </c>
      <c r="W186" s="27">
        <f t="shared" si="129"/>
        <v>50.60182302815815</v>
      </c>
      <c r="X186" s="27">
        <f t="shared" si="129"/>
        <v>51.2880381935296</v>
      </c>
      <c r="Y186" s="27">
        <f t="shared" si="129"/>
        <v>51.914318090912204</v>
      </c>
      <c r="Z186" s="28">
        <f t="shared" si="129"/>
        <v>51.8730321803137</v>
      </c>
    </row>
    <row r="187" spans="1:26" ht="15.75">
      <c r="A187" s="140" t="s">
        <v>198</v>
      </c>
      <c r="B187" s="33">
        <f aca="true" t="shared" si="130" ref="B187:Z187">B180*B42/B24</f>
        <v>0.17222093627809865</v>
      </c>
      <c r="C187" s="27">
        <f t="shared" si="130"/>
        <v>2.913993236735846</v>
      </c>
      <c r="D187" s="27">
        <f t="shared" si="130"/>
        <v>5.604090877680397</v>
      </c>
      <c r="E187" s="27">
        <f t="shared" si="130"/>
        <v>8.367767691624556</v>
      </c>
      <c r="F187" s="27">
        <f t="shared" si="130"/>
        <v>11.371966636865675</v>
      </c>
      <c r="G187" s="27">
        <f t="shared" si="130"/>
        <v>14.57998887208964</v>
      </c>
      <c r="H187" s="27">
        <f t="shared" si="130"/>
        <v>17.607467657862422</v>
      </c>
      <c r="I187" s="27">
        <f t="shared" si="130"/>
        <v>19.738698446106554</v>
      </c>
      <c r="J187" s="27">
        <f t="shared" si="130"/>
        <v>20.152271833982237</v>
      </c>
      <c r="K187" s="27">
        <f t="shared" si="130"/>
        <v>18.283484704833675</v>
      </c>
      <c r="L187" s="27">
        <f t="shared" si="130"/>
        <v>14.074540549244574</v>
      </c>
      <c r="M187" s="27">
        <f t="shared" si="130"/>
        <v>7.759009522314697</v>
      </c>
      <c r="N187" s="27">
        <f t="shared" si="130"/>
        <v>-0.6234472103361923</v>
      </c>
      <c r="O187" s="27">
        <f t="shared" si="130"/>
        <v>-10.807084048748028</v>
      </c>
      <c r="P187" s="27">
        <f t="shared" si="130"/>
        <v>-20.997103115115376</v>
      </c>
      <c r="Q187" s="27">
        <f t="shared" si="130"/>
        <v>-28.124959959866768</v>
      </c>
      <c r="R187" s="27">
        <f t="shared" si="130"/>
        <v>-30.201148349225768</v>
      </c>
      <c r="S187" s="27">
        <f t="shared" si="130"/>
        <v>-27.848367848114464</v>
      </c>
      <c r="T187" s="27">
        <f t="shared" si="130"/>
        <v>-23.24185965197605</v>
      </c>
      <c r="U187" s="27">
        <f t="shared" si="130"/>
        <v>-18.2062630261679</v>
      </c>
      <c r="V187" s="27">
        <f t="shared" si="130"/>
        <v>-13.556482717138604</v>
      </c>
      <c r="W187" s="27">
        <f t="shared" si="130"/>
        <v>-9.474134926276735</v>
      </c>
      <c r="X187" s="27">
        <f t="shared" si="130"/>
        <v>-5.899260427751392</v>
      </c>
      <c r="Y187" s="27">
        <f t="shared" si="130"/>
        <v>-2.7073929612653957</v>
      </c>
      <c r="Z187" s="28">
        <f t="shared" si="130"/>
        <v>0.18445077818732133</v>
      </c>
    </row>
    <row r="188" spans="1:26" ht="15.75">
      <c r="A188" s="140" t="s">
        <v>199</v>
      </c>
      <c r="B188" s="33">
        <f aca="true" t="shared" si="131" ref="B188:Z188">B185*B33+B186*B34+B24*B187</f>
        <v>49.37443205397114</v>
      </c>
      <c r="C188" s="27">
        <f t="shared" si="131"/>
        <v>51.820726104682066</v>
      </c>
      <c r="D188" s="27">
        <f t="shared" si="131"/>
        <v>55.74727326185872</v>
      </c>
      <c r="E188" s="27">
        <f t="shared" si="131"/>
        <v>54.61676348833608</v>
      </c>
      <c r="F188" s="27">
        <f t="shared" si="131"/>
        <v>48.642930346237534</v>
      </c>
      <c r="G188" s="27">
        <f t="shared" si="131"/>
        <v>38.757869379798265</v>
      </c>
      <c r="H188" s="27">
        <f t="shared" si="131"/>
        <v>25.955056404170662</v>
      </c>
      <c r="I188" s="27">
        <f t="shared" si="131"/>
        <v>11.264296217535165</v>
      </c>
      <c r="J188" s="27">
        <f t="shared" si="131"/>
        <v>-4.24067830872486</v>
      </c>
      <c r="K188" s="27">
        <f t="shared" si="131"/>
        <v>-19.610968385909434</v>
      </c>
      <c r="L188" s="27">
        <f t="shared" si="131"/>
        <v>-34.4591419171298</v>
      </c>
      <c r="M188" s="27">
        <f t="shared" si="131"/>
        <v>-49.43289564969048</v>
      </c>
      <c r="N188" s="27">
        <f t="shared" si="131"/>
        <v>-65.49895631490085</v>
      </c>
      <c r="O188" s="27">
        <f t="shared" si="131"/>
        <v>-80.96636325143182</v>
      </c>
      <c r="P188" s="27">
        <f t="shared" si="131"/>
        <v>-89.5000810085061</v>
      </c>
      <c r="Q188" s="27">
        <f t="shared" si="131"/>
        <v>-84.25754092091285</v>
      </c>
      <c r="R188" s="27">
        <f t="shared" si="131"/>
        <v>-65.18785048700164</v>
      </c>
      <c r="S188" s="27">
        <f t="shared" si="131"/>
        <v>-40.113457700020646</v>
      </c>
      <c r="T188" s="27">
        <f t="shared" si="131"/>
        <v>-17.85436560258722</v>
      </c>
      <c r="U188" s="27">
        <f t="shared" si="131"/>
        <v>-2.2259942649295237</v>
      </c>
      <c r="V188" s="27">
        <f t="shared" si="131"/>
        <v>7.96506357059125</v>
      </c>
      <c r="W188" s="27">
        <f t="shared" si="131"/>
        <v>16.347196893944222</v>
      </c>
      <c r="X188" s="27">
        <f t="shared" si="131"/>
        <v>26.282233475751468</v>
      </c>
      <c r="Y188" s="27">
        <f t="shared" si="131"/>
        <v>38.130147704562916</v>
      </c>
      <c r="Z188" s="28">
        <f t="shared" si="131"/>
        <v>49.4601375994101</v>
      </c>
    </row>
    <row r="189" spans="1:26" ht="16.5" thickBot="1">
      <c r="A189" s="80" t="s">
        <v>26</v>
      </c>
      <c r="B189" s="73">
        <f aca="true" t="shared" si="132" ref="B189:Z189">B188-B174-B102-B103</f>
        <v>1.2101430968414206E-14</v>
      </c>
      <c r="C189" s="74">
        <f t="shared" si="132"/>
        <v>2.4424906541753444E-15</v>
      </c>
      <c r="D189" s="74">
        <f t="shared" si="132"/>
        <v>0</v>
      </c>
      <c r="E189" s="74">
        <f t="shared" si="132"/>
        <v>3.1086244689504383E-15</v>
      </c>
      <c r="F189" s="74">
        <f t="shared" si="132"/>
        <v>-2.220446049250313E-15</v>
      </c>
      <c r="G189" s="74">
        <f t="shared" si="132"/>
        <v>-3.885780586188048E-15</v>
      </c>
      <c r="H189" s="74">
        <f t="shared" si="132"/>
        <v>-5.773159728050814E-15</v>
      </c>
      <c r="I189" s="74">
        <f t="shared" si="132"/>
        <v>3.552713678800501E-15</v>
      </c>
      <c r="J189" s="74">
        <f t="shared" si="132"/>
        <v>0</v>
      </c>
      <c r="K189" s="74">
        <f t="shared" si="132"/>
        <v>2.220446049250313E-16</v>
      </c>
      <c r="L189" s="74">
        <f t="shared" si="132"/>
        <v>0</v>
      </c>
      <c r="M189" s="74">
        <f t="shared" si="132"/>
        <v>5.329070518200751E-15</v>
      </c>
      <c r="N189" s="74">
        <f t="shared" si="132"/>
        <v>-9.769962616701378E-15</v>
      </c>
      <c r="O189" s="74">
        <f t="shared" si="132"/>
        <v>-4.884981308350689E-15</v>
      </c>
      <c r="P189" s="74">
        <f t="shared" si="132"/>
        <v>0</v>
      </c>
      <c r="Q189" s="74">
        <f t="shared" si="132"/>
        <v>0</v>
      </c>
      <c r="R189" s="74">
        <f t="shared" si="132"/>
        <v>-7.105427357601002E-15</v>
      </c>
      <c r="S189" s="74">
        <f t="shared" si="132"/>
        <v>0</v>
      </c>
      <c r="T189" s="74">
        <f t="shared" si="132"/>
        <v>0</v>
      </c>
      <c r="U189" s="74">
        <f t="shared" si="132"/>
        <v>7.494005416219807E-16</v>
      </c>
      <c r="V189" s="74">
        <f t="shared" si="132"/>
        <v>-6.106226635438361E-16</v>
      </c>
      <c r="W189" s="74">
        <f t="shared" si="132"/>
        <v>-5.551115123125783E-16</v>
      </c>
      <c r="X189" s="74">
        <f t="shared" si="132"/>
        <v>5.218048215738236E-15</v>
      </c>
      <c r="Y189" s="74">
        <f t="shared" si="132"/>
        <v>3.3306690738754696E-15</v>
      </c>
      <c r="Z189" s="75">
        <f t="shared" si="132"/>
        <v>-7.105427357601002E-15</v>
      </c>
    </row>
    <row r="190" ht="16.5" thickBot="1"/>
    <row r="191" spans="1:26" ht="16.5" thickBot="1">
      <c r="A191" s="159" t="s">
        <v>184</v>
      </c>
      <c r="B191" s="160"/>
      <c r="C191" s="16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>
      <c r="A192" s="140" t="s">
        <v>158</v>
      </c>
      <c r="B192" s="32">
        <f aca="true" t="shared" si="133" ref="B192:Z192">B84+B178</f>
        <v>-1.0181336959067357</v>
      </c>
      <c r="C192" s="25">
        <f t="shared" si="133"/>
        <v>-1.1970000684282343</v>
      </c>
      <c r="D192" s="25">
        <f t="shared" si="133"/>
        <v>-2.4026988724094407</v>
      </c>
      <c r="E192" s="25">
        <f t="shared" si="133"/>
        <v>-3.1874653879725745</v>
      </c>
      <c r="F192" s="25">
        <f t="shared" si="133"/>
        <v>-3.0906601212786384</v>
      </c>
      <c r="G192" s="25">
        <f t="shared" si="133"/>
        <v>-1.9521151739872327</v>
      </c>
      <c r="H192" s="25">
        <f t="shared" si="133"/>
        <v>0.10123093470093963</v>
      </c>
      <c r="I192" s="25">
        <f t="shared" si="133"/>
        <v>2.7121047303116366</v>
      </c>
      <c r="J192" s="25">
        <f t="shared" si="133"/>
        <v>5.401013488364169</v>
      </c>
      <c r="K192" s="25">
        <f t="shared" si="133"/>
        <v>7.696728458404513</v>
      </c>
      <c r="L192" s="25">
        <f t="shared" si="133"/>
        <v>9.250687242581996</v>
      </c>
      <c r="M192" s="25">
        <f t="shared" si="133"/>
        <v>9.88394290948885</v>
      </c>
      <c r="N192" s="25">
        <f t="shared" si="133"/>
        <v>9.544698820892812</v>
      </c>
      <c r="O192" s="25">
        <f t="shared" si="133"/>
        <v>8.254791981723734</v>
      </c>
      <c r="P192" s="25">
        <f t="shared" si="133"/>
        <v>6.175422838013877</v>
      </c>
      <c r="Q192" s="25">
        <f t="shared" si="133"/>
        <v>3.7583500842017843</v>
      </c>
      <c r="R192" s="25">
        <f t="shared" si="133"/>
        <v>1.698102225389812</v>
      </c>
      <c r="S192" s="25">
        <f t="shared" si="133"/>
        <v>0.5305601585250949</v>
      </c>
      <c r="T192" s="25">
        <f t="shared" si="133"/>
        <v>0.2699892598774454</v>
      </c>
      <c r="U192" s="25">
        <f t="shared" si="133"/>
        <v>0.5266934583015338</v>
      </c>
      <c r="V192" s="25">
        <f t="shared" si="133"/>
        <v>0.8904911854223513</v>
      </c>
      <c r="W192" s="25">
        <f t="shared" si="133"/>
        <v>1.1109079294429138</v>
      </c>
      <c r="X192" s="25">
        <f t="shared" si="133"/>
        <v>1.0197732768364194</v>
      </c>
      <c r="Y192" s="25">
        <f t="shared" si="133"/>
        <v>0.4599875598106999</v>
      </c>
      <c r="Z192" s="26">
        <f t="shared" si="133"/>
        <v>-0.6169405086268959</v>
      </c>
    </row>
    <row r="193" spans="1:26" ht="15.75">
      <c r="A193" s="140" t="s">
        <v>159</v>
      </c>
      <c r="B193" s="33">
        <f aca="true" t="shared" si="134" ref="B193:Z193">B85+B179+$K$2</f>
        <v>63.90693440450086</v>
      </c>
      <c r="C193" s="27">
        <f t="shared" si="134"/>
        <v>65.6920400997538</v>
      </c>
      <c r="D193" s="27">
        <f t="shared" si="134"/>
        <v>63.88690578519672</v>
      </c>
      <c r="E193" s="27">
        <f t="shared" si="134"/>
        <v>61.12213877508191</v>
      </c>
      <c r="F193" s="27">
        <f t="shared" si="134"/>
        <v>58.085561022589644</v>
      </c>
      <c r="G193" s="27">
        <f t="shared" si="134"/>
        <v>55.22882418522937</v>
      </c>
      <c r="H193" s="27">
        <f t="shared" si="134"/>
        <v>52.82840385790844</v>
      </c>
      <c r="I193" s="27">
        <f t="shared" si="134"/>
        <v>51.005778306656566</v>
      </c>
      <c r="J193" s="27">
        <f t="shared" si="134"/>
        <v>49.80475141039521</v>
      </c>
      <c r="K193" s="27">
        <f t="shared" si="134"/>
        <v>49.329440914683445</v>
      </c>
      <c r="L193" s="27">
        <f t="shared" si="134"/>
        <v>49.91293581260237</v>
      </c>
      <c r="M193" s="27">
        <f t="shared" si="134"/>
        <v>52.14439323569664</v>
      </c>
      <c r="N193" s="27">
        <f t="shared" si="134"/>
        <v>56.46925126864997</v>
      </c>
      <c r="O193" s="27">
        <f t="shared" si="134"/>
        <v>62.45643943314646</v>
      </c>
      <c r="P193" s="27">
        <f t="shared" si="134"/>
        <v>68.50848613449392</v>
      </c>
      <c r="Q193" s="27">
        <f t="shared" si="134"/>
        <v>72.5740599613208</v>
      </c>
      <c r="R193" s="27">
        <f t="shared" si="134"/>
        <v>73.45468669195961</v>
      </c>
      <c r="S193" s="27">
        <f t="shared" si="134"/>
        <v>71.633437459188</v>
      </c>
      <c r="T193" s="27">
        <f t="shared" si="134"/>
        <v>68.78664588517982</v>
      </c>
      <c r="U193" s="27">
        <f t="shared" si="134"/>
        <v>66.49336868026055</v>
      </c>
      <c r="V193" s="27">
        <f t="shared" si="134"/>
        <v>65.45409326173069</v>
      </c>
      <c r="W193" s="27">
        <f t="shared" si="134"/>
        <v>65.58967472452828</v>
      </c>
      <c r="X193" s="27">
        <f t="shared" si="134"/>
        <v>66.38324936949822</v>
      </c>
      <c r="Y193" s="27">
        <f t="shared" si="134"/>
        <v>67.08476179720928</v>
      </c>
      <c r="Z193" s="28">
        <f t="shared" si="134"/>
        <v>66.99702504306151</v>
      </c>
    </row>
    <row r="194" spans="1:26" ht="15.75">
      <c r="A194" s="141" t="s">
        <v>160</v>
      </c>
      <c r="B194" s="33">
        <f aca="true" t="shared" si="135" ref="B194:Z194">-B84*B77+(B85+$K$2)*B76+B86-B178*B32+B179*B31+B42*B180/B24</f>
        <v>56.73081147108429</v>
      </c>
      <c r="C194" s="27">
        <f t="shared" si="135"/>
        <v>60.2405658049865</v>
      </c>
      <c r="D194" s="27">
        <f t="shared" si="135"/>
        <v>56.275639641037195</v>
      </c>
      <c r="E194" s="27">
        <f t="shared" si="135"/>
        <v>48.923173911376985</v>
      </c>
      <c r="F194" s="27">
        <f t="shared" si="135"/>
        <v>39.46357246326039</v>
      </c>
      <c r="G194" s="27">
        <f t="shared" si="135"/>
        <v>28.696522426892866</v>
      </c>
      <c r="H194" s="27">
        <f t="shared" si="135"/>
        <v>17.178993935361312</v>
      </c>
      <c r="I194" s="27">
        <f t="shared" si="135"/>
        <v>5.3797186865231765</v>
      </c>
      <c r="J194" s="27">
        <f t="shared" si="135"/>
        <v>-6.251830541871616</v>
      </c>
      <c r="K194" s="27">
        <f t="shared" si="135"/>
        <v>-17.356791987646467</v>
      </c>
      <c r="L194" s="27">
        <f t="shared" si="135"/>
        <v>-27.912152297256135</v>
      </c>
      <c r="M194" s="27">
        <f t="shared" si="135"/>
        <v>-38.54223625695394</v>
      </c>
      <c r="N194" s="27">
        <f t="shared" si="135"/>
        <v>-50.18745189742167</v>
      </c>
      <c r="O194" s="27">
        <f t="shared" si="135"/>
        <v>-62.3118010713285</v>
      </c>
      <c r="P194" s="27">
        <f t="shared" si="135"/>
        <v>-71.24571771245468</v>
      </c>
      <c r="Q194" s="27">
        <f t="shared" si="135"/>
        <v>-71.88240134319427</v>
      </c>
      <c r="R194" s="27">
        <f t="shared" si="135"/>
        <v>-61.92859567946964</v>
      </c>
      <c r="S194" s="27">
        <f t="shared" si="135"/>
        <v>-43.88966390512907</v>
      </c>
      <c r="T194" s="27">
        <f t="shared" si="135"/>
        <v>-22.613032130145623</v>
      </c>
      <c r="U194" s="27">
        <f t="shared" si="135"/>
        <v>-1.76738007434788</v>
      </c>
      <c r="V194" s="27">
        <f t="shared" si="135"/>
        <v>17.100054834714957</v>
      </c>
      <c r="W194" s="27">
        <f t="shared" si="135"/>
        <v>33.464163396411784</v>
      </c>
      <c r="X194" s="27">
        <f t="shared" si="135"/>
        <v>46.76401174975464</v>
      </c>
      <c r="Y194" s="27">
        <f t="shared" si="135"/>
        <v>56.11691015608955</v>
      </c>
      <c r="Z194" s="28">
        <f t="shared" si="135"/>
        <v>60.73755931925489</v>
      </c>
    </row>
    <row r="195" spans="1:26" ht="15.75">
      <c r="A195" s="140" t="s">
        <v>162</v>
      </c>
      <c r="B195" s="33">
        <f aca="true" t="shared" si="136" ref="B195:Z195">B194*B24</f>
        <v>56.73081147108429</v>
      </c>
      <c r="C195" s="27">
        <f t="shared" si="136"/>
        <v>60.2405658049865</v>
      </c>
      <c r="D195" s="27">
        <f t="shared" si="136"/>
        <v>64.63374925230814</v>
      </c>
      <c r="E195" s="27">
        <f t="shared" si="136"/>
        <v>62.90718623916748</v>
      </c>
      <c r="F195" s="27">
        <f t="shared" si="136"/>
        <v>55.26536865077435</v>
      </c>
      <c r="G195" s="27">
        <f t="shared" si="136"/>
        <v>42.81158907293168</v>
      </c>
      <c r="H195" s="27">
        <f t="shared" si="136"/>
        <v>26.81857183369492</v>
      </c>
      <c r="I195" s="27">
        <f t="shared" si="136"/>
        <v>8.657310552630543</v>
      </c>
      <c r="J195" s="27">
        <f t="shared" si="136"/>
        <v>-10.235479290299386</v>
      </c>
      <c r="K195" s="27">
        <f t="shared" si="136"/>
        <v>-28.565803448886154</v>
      </c>
      <c r="L195" s="27">
        <f t="shared" si="136"/>
        <v>-45.660229971818445</v>
      </c>
      <c r="M195" s="27">
        <f t="shared" si="136"/>
        <v>-61.97889710949072</v>
      </c>
      <c r="N195" s="27">
        <f t="shared" si="136"/>
        <v>-78.42469912177886</v>
      </c>
      <c r="O195" s="27">
        <f t="shared" si="136"/>
        <v>-93.34700798134624</v>
      </c>
      <c r="P195" s="27">
        <f t="shared" si="136"/>
        <v>-100.48183876611064</v>
      </c>
      <c r="Q195" s="27">
        <f t="shared" si="136"/>
        <v>-93.06535527789678</v>
      </c>
      <c r="R195" s="27">
        <f t="shared" si="136"/>
        <v>-71.25645851011545</v>
      </c>
      <c r="S195" s="27">
        <f t="shared" si="136"/>
        <v>-43.32217002934706</v>
      </c>
      <c r="T195" s="27">
        <f t="shared" si="136"/>
        <v>-18.60639895726726</v>
      </c>
      <c r="U195" s="27">
        <f t="shared" si="136"/>
        <v>-1.2074243793011106</v>
      </c>
      <c r="V195" s="27">
        <f t="shared" si="136"/>
        <v>10.200458454050464</v>
      </c>
      <c r="W195" s="27">
        <f t="shared" si="136"/>
        <v>19.70234197248852</v>
      </c>
      <c r="X195" s="27">
        <f t="shared" si="136"/>
        <v>31.088575168116023</v>
      </c>
      <c r="Y195" s="27">
        <f t="shared" si="136"/>
        <v>44.70161141282083</v>
      </c>
      <c r="Z195" s="28">
        <f t="shared" si="136"/>
        <v>57.717198832773704</v>
      </c>
    </row>
    <row r="196" spans="1:26" ht="16.5" thickBot="1">
      <c r="A196" s="80" t="s">
        <v>26</v>
      </c>
      <c r="B196" s="73">
        <f aca="true" t="shared" si="137" ref="B196:Z196">B195-B87-B88-B181</f>
        <v>0</v>
      </c>
      <c r="C196" s="74">
        <f t="shared" si="137"/>
        <v>0</v>
      </c>
      <c r="D196" s="74">
        <f t="shared" si="137"/>
        <v>0</v>
      </c>
      <c r="E196" s="74">
        <f t="shared" si="137"/>
        <v>0</v>
      </c>
      <c r="F196" s="74">
        <f t="shared" si="137"/>
        <v>0</v>
      </c>
      <c r="G196" s="74">
        <f t="shared" si="137"/>
        <v>0</v>
      </c>
      <c r="H196" s="74">
        <f t="shared" si="137"/>
        <v>0</v>
      </c>
      <c r="I196" s="74">
        <f t="shared" si="137"/>
        <v>0</v>
      </c>
      <c r="J196" s="74">
        <f t="shared" si="137"/>
        <v>0</v>
      </c>
      <c r="K196" s="74">
        <f t="shared" si="137"/>
        <v>0</v>
      </c>
      <c r="L196" s="74">
        <f t="shared" si="137"/>
        <v>0</v>
      </c>
      <c r="M196" s="74">
        <f t="shared" si="137"/>
        <v>0</v>
      </c>
      <c r="N196" s="74">
        <f t="shared" si="137"/>
        <v>0</v>
      </c>
      <c r="O196" s="74">
        <f t="shared" si="137"/>
        <v>0</v>
      </c>
      <c r="P196" s="74">
        <f t="shared" si="137"/>
        <v>0</v>
      </c>
      <c r="Q196" s="74">
        <f t="shared" si="137"/>
        <v>0</v>
      </c>
      <c r="R196" s="74">
        <f t="shared" si="137"/>
        <v>0</v>
      </c>
      <c r="S196" s="74">
        <f t="shared" si="137"/>
        <v>0</v>
      </c>
      <c r="T196" s="74">
        <f t="shared" si="137"/>
        <v>0</v>
      </c>
      <c r="U196" s="74">
        <f t="shared" si="137"/>
        <v>0</v>
      </c>
      <c r="V196" s="74">
        <f t="shared" si="137"/>
        <v>0</v>
      </c>
      <c r="W196" s="74">
        <f t="shared" si="137"/>
        <v>0</v>
      </c>
      <c r="X196" s="74">
        <f t="shared" si="137"/>
        <v>0</v>
      </c>
      <c r="Y196" s="74">
        <f t="shared" si="137"/>
        <v>0</v>
      </c>
      <c r="Z196" s="75">
        <f t="shared" si="137"/>
        <v>0</v>
      </c>
    </row>
    <row r="197" spans="2:26" ht="16.5" thickBot="1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6.5" thickBot="1">
      <c r="A198" s="69" t="s">
        <v>161</v>
      </c>
      <c r="B198" s="70">
        <f aca="true" t="shared" si="138" ref="B198:Z198">B195-(B160+B133+B132+B118+B117+B103+B102+B88+B87)</f>
        <v>0</v>
      </c>
      <c r="C198" s="70">
        <f t="shared" si="138"/>
        <v>0</v>
      </c>
      <c r="D198" s="70">
        <f t="shared" si="138"/>
        <v>0</v>
      </c>
      <c r="E198" s="70">
        <f t="shared" si="138"/>
        <v>0</v>
      </c>
      <c r="F198" s="70">
        <f t="shared" si="138"/>
        <v>0</v>
      </c>
      <c r="G198" s="70">
        <f t="shared" si="138"/>
        <v>0</v>
      </c>
      <c r="H198" s="70">
        <f t="shared" si="138"/>
        <v>0</v>
      </c>
      <c r="I198" s="70">
        <f t="shared" si="138"/>
        <v>0</v>
      </c>
      <c r="J198" s="70">
        <f t="shared" si="138"/>
        <v>0</v>
      </c>
      <c r="K198" s="70">
        <f t="shared" si="138"/>
        <v>0</v>
      </c>
      <c r="L198" s="70">
        <f t="shared" si="138"/>
        <v>0</v>
      </c>
      <c r="M198" s="70">
        <f t="shared" si="138"/>
        <v>0</v>
      </c>
      <c r="N198" s="70">
        <f t="shared" si="138"/>
        <v>0</v>
      </c>
      <c r="O198" s="70">
        <f t="shared" si="138"/>
        <v>0</v>
      </c>
      <c r="P198" s="70">
        <f t="shared" si="138"/>
        <v>0</v>
      </c>
      <c r="Q198" s="70">
        <f t="shared" si="138"/>
        <v>0</v>
      </c>
      <c r="R198" s="70">
        <f t="shared" si="138"/>
        <v>0</v>
      </c>
      <c r="S198" s="70">
        <f t="shared" si="138"/>
        <v>0</v>
      </c>
      <c r="T198" s="70">
        <f t="shared" si="138"/>
        <v>0</v>
      </c>
      <c r="U198" s="70">
        <f t="shared" si="138"/>
        <v>0</v>
      </c>
      <c r="V198" s="70">
        <f t="shared" si="138"/>
        <v>0</v>
      </c>
      <c r="W198" s="70">
        <f t="shared" si="138"/>
        <v>0</v>
      </c>
      <c r="X198" s="70">
        <f t="shared" si="138"/>
        <v>0</v>
      </c>
      <c r="Y198" s="70">
        <f t="shared" si="138"/>
        <v>0</v>
      </c>
      <c r="Z198" s="71">
        <f t="shared" si="138"/>
        <v>0</v>
      </c>
    </row>
    <row r="199" spans="2:26" ht="16.5" thickBot="1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6.5" thickBot="1">
      <c r="A200" s="162" t="s">
        <v>164</v>
      </c>
      <c r="B200" s="163"/>
      <c r="C200" s="163"/>
      <c r="D200" s="163"/>
      <c r="E200" s="164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" ht="16.5" thickBot="1">
      <c r="A201" s="143" t="s">
        <v>183</v>
      </c>
      <c r="B201" s="65"/>
    </row>
    <row r="202" spans="1:26" ht="15.75">
      <c r="A202" s="151" t="s">
        <v>165</v>
      </c>
      <c r="B202" s="32">
        <f aca="true" t="shared" si="139" ref="B202:Z202">(B180*B42*B50)/(B33*B50-B49*B34)</f>
        <v>-9.868033780727435</v>
      </c>
      <c r="C202" s="25">
        <f t="shared" si="139"/>
        <v>-10.571837144855289</v>
      </c>
      <c r="D202" s="25">
        <f t="shared" si="139"/>
        <v>-10.88092541247381</v>
      </c>
      <c r="E202" s="25">
        <f t="shared" si="139"/>
        <v>-11.632565982982138</v>
      </c>
      <c r="F202" s="25">
        <f t="shared" si="139"/>
        <v>-13.002184313980047</v>
      </c>
      <c r="G202" s="25">
        <f t="shared" si="139"/>
        <v>-15.02633524734543</v>
      </c>
      <c r="H202" s="25">
        <f t="shared" si="139"/>
        <v>-17.61014976896891</v>
      </c>
      <c r="I202" s="25">
        <f t="shared" si="139"/>
        <v>-20.534156858126927</v>
      </c>
      <c r="J202" s="25">
        <f t="shared" si="139"/>
        <v>-23.51031335128552</v>
      </c>
      <c r="K202" s="25">
        <f t="shared" si="139"/>
        <v>-26.320109973990267</v>
      </c>
      <c r="L202" s="25">
        <f t="shared" si="139"/>
        <v>-29.03106696210597</v>
      </c>
      <c r="M202" s="25">
        <f t="shared" si="139"/>
        <v>-32.07237403246174</v>
      </c>
      <c r="N202" s="25">
        <f t="shared" si="139"/>
        <v>-35.722707500343326</v>
      </c>
      <c r="O202" s="25">
        <f t="shared" si="139"/>
        <v>-39.20761762031649</v>
      </c>
      <c r="P202" s="25">
        <f t="shared" si="139"/>
        <v>-40.768059951261435</v>
      </c>
      <c r="Q202" s="25">
        <f t="shared" si="139"/>
        <v>-39.098295335008686</v>
      </c>
      <c r="R202" s="25">
        <f t="shared" si="139"/>
        <v>-34.53060581953287</v>
      </c>
      <c r="S202" s="25">
        <f t="shared" si="139"/>
        <v>-28.700907459416257</v>
      </c>
      <c r="T202" s="25">
        <f t="shared" si="139"/>
        <v>-23.245400038993612</v>
      </c>
      <c r="U202" s="25">
        <f t="shared" si="139"/>
        <v>-18.93996515527041</v>
      </c>
      <c r="V202" s="25">
        <f t="shared" si="139"/>
        <v>-15.81544548658632</v>
      </c>
      <c r="W202" s="25">
        <f t="shared" si="139"/>
        <v>-13.63855289041817</v>
      </c>
      <c r="X202" s="25">
        <f t="shared" si="139"/>
        <v>-12.168200013757808</v>
      </c>
      <c r="Y202" s="25">
        <f t="shared" si="139"/>
        <v>-11.191186124572987</v>
      </c>
      <c r="Z202" s="26">
        <f t="shared" si="139"/>
        <v>-10.568787682670765</v>
      </c>
    </row>
    <row r="203" spans="1:26" ht="15.75">
      <c r="A203" s="150" t="s">
        <v>166</v>
      </c>
      <c r="B203" s="33">
        <f aca="true" t="shared" si="140" ref="B203:Z203">-(B180*B42*B49)/(B33*B50-B49*B34)</f>
        <v>0</v>
      </c>
      <c r="C203" s="27">
        <f t="shared" si="140"/>
        <v>0</v>
      </c>
      <c r="D203" s="27">
        <f t="shared" si="140"/>
        <v>0</v>
      </c>
      <c r="E203" s="27">
        <f t="shared" si="140"/>
        <v>0</v>
      </c>
      <c r="F203" s="27">
        <f t="shared" si="140"/>
        <v>0</v>
      </c>
      <c r="G203" s="27">
        <f t="shared" si="140"/>
        <v>0</v>
      </c>
      <c r="H203" s="27">
        <f t="shared" si="140"/>
        <v>0</v>
      </c>
      <c r="I203" s="27">
        <f t="shared" si="140"/>
        <v>0</v>
      </c>
      <c r="J203" s="27">
        <f t="shared" si="140"/>
        <v>0</v>
      </c>
      <c r="K203" s="27">
        <f t="shared" si="140"/>
        <v>0</v>
      </c>
      <c r="L203" s="27">
        <f t="shared" si="140"/>
        <v>0</v>
      </c>
      <c r="M203" s="27">
        <f t="shared" si="140"/>
        <v>0</v>
      </c>
      <c r="N203" s="27">
        <f t="shared" si="140"/>
        <v>-7.007999165355971E-15</v>
      </c>
      <c r="O203" s="27">
        <f t="shared" si="140"/>
        <v>0</v>
      </c>
      <c r="P203" s="27">
        <f t="shared" si="140"/>
        <v>0</v>
      </c>
      <c r="Q203" s="27">
        <f t="shared" si="140"/>
        <v>0</v>
      </c>
      <c r="R203" s="27">
        <f t="shared" si="140"/>
        <v>0</v>
      </c>
      <c r="S203" s="27">
        <f t="shared" si="140"/>
        <v>0</v>
      </c>
      <c r="T203" s="27">
        <f t="shared" si="140"/>
        <v>0</v>
      </c>
      <c r="U203" s="27">
        <f t="shared" si="140"/>
        <v>0</v>
      </c>
      <c r="V203" s="27">
        <f t="shared" si="140"/>
        <v>0</v>
      </c>
      <c r="W203" s="27">
        <f t="shared" si="140"/>
        <v>0</v>
      </c>
      <c r="X203" s="27">
        <f t="shared" si="140"/>
        <v>0</v>
      </c>
      <c r="Y203" s="27">
        <f t="shared" si="140"/>
        <v>0</v>
      </c>
      <c r="Z203" s="28">
        <f t="shared" si="140"/>
        <v>-2.0364647036285108E-15</v>
      </c>
    </row>
    <row r="204" spans="1:26" ht="15.75">
      <c r="A204" s="76" t="s">
        <v>26</v>
      </c>
      <c r="B204" s="77">
        <f aca="true" t="shared" si="141" ref="B204:Z204">B202*B33+B203*B34-B180*B42</f>
        <v>0</v>
      </c>
      <c r="C204" s="78">
        <f t="shared" si="141"/>
        <v>0</v>
      </c>
      <c r="D204" s="78">
        <f t="shared" si="141"/>
        <v>0</v>
      </c>
      <c r="E204" s="78">
        <f t="shared" si="141"/>
        <v>0</v>
      </c>
      <c r="F204" s="78">
        <f t="shared" si="141"/>
        <v>0</v>
      </c>
      <c r="G204" s="78">
        <f t="shared" si="141"/>
        <v>0</v>
      </c>
      <c r="H204" s="78">
        <f t="shared" si="141"/>
        <v>0</v>
      </c>
      <c r="I204" s="78">
        <f t="shared" si="141"/>
        <v>0</v>
      </c>
      <c r="J204" s="78">
        <f t="shared" si="141"/>
        <v>0</v>
      </c>
      <c r="K204" s="78">
        <f t="shared" si="141"/>
        <v>0</v>
      </c>
      <c r="L204" s="78">
        <f t="shared" si="141"/>
        <v>0</v>
      </c>
      <c r="M204" s="78">
        <f t="shared" si="141"/>
        <v>0</v>
      </c>
      <c r="N204" s="78">
        <f t="shared" si="141"/>
        <v>0</v>
      </c>
      <c r="O204" s="78">
        <f t="shared" si="141"/>
        <v>0</v>
      </c>
      <c r="P204" s="78">
        <f t="shared" si="141"/>
        <v>0</v>
      </c>
      <c r="Q204" s="78">
        <f t="shared" si="141"/>
        <v>0</v>
      </c>
      <c r="R204" s="78">
        <f t="shared" si="141"/>
        <v>0</v>
      </c>
      <c r="S204" s="78">
        <f t="shared" si="141"/>
        <v>0</v>
      </c>
      <c r="T204" s="78">
        <f t="shared" si="141"/>
        <v>0</v>
      </c>
      <c r="U204" s="78">
        <f t="shared" si="141"/>
        <v>0</v>
      </c>
      <c r="V204" s="78">
        <f t="shared" si="141"/>
        <v>0</v>
      </c>
      <c r="W204" s="78">
        <f t="shared" si="141"/>
        <v>0</v>
      </c>
      <c r="X204" s="78">
        <f t="shared" si="141"/>
        <v>0</v>
      </c>
      <c r="Y204" s="78">
        <f t="shared" si="141"/>
        <v>0</v>
      </c>
      <c r="Z204" s="79">
        <f t="shared" si="141"/>
        <v>0</v>
      </c>
    </row>
    <row r="205" spans="1:26" ht="15.75">
      <c r="A205" s="150" t="s">
        <v>167</v>
      </c>
      <c r="B205" s="33">
        <f>-B202</f>
        <v>9.868033780727435</v>
      </c>
      <c r="C205" s="27">
        <f aca="true" t="shared" si="142" ref="C205:Z205">-C202</f>
        <v>10.571837144855289</v>
      </c>
      <c r="D205" s="27">
        <f t="shared" si="142"/>
        <v>10.88092541247381</v>
      </c>
      <c r="E205" s="27">
        <f t="shared" si="142"/>
        <v>11.632565982982138</v>
      </c>
      <c r="F205" s="27">
        <f t="shared" si="142"/>
        <v>13.002184313980047</v>
      </c>
      <c r="G205" s="27">
        <f t="shared" si="142"/>
        <v>15.02633524734543</v>
      </c>
      <c r="H205" s="27">
        <f t="shared" si="142"/>
        <v>17.61014976896891</v>
      </c>
      <c r="I205" s="27">
        <f t="shared" si="142"/>
        <v>20.534156858126927</v>
      </c>
      <c r="J205" s="27">
        <f t="shared" si="142"/>
        <v>23.51031335128552</v>
      </c>
      <c r="K205" s="27">
        <f t="shared" si="142"/>
        <v>26.320109973990267</v>
      </c>
      <c r="L205" s="27">
        <f t="shared" si="142"/>
        <v>29.03106696210597</v>
      </c>
      <c r="M205" s="27">
        <f t="shared" si="142"/>
        <v>32.07237403246174</v>
      </c>
      <c r="N205" s="27">
        <f t="shared" si="142"/>
        <v>35.722707500343326</v>
      </c>
      <c r="O205" s="27">
        <f t="shared" si="142"/>
        <v>39.20761762031649</v>
      </c>
      <c r="P205" s="27">
        <f t="shared" si="142"/>
        <v>40.768059951261435</v>
      </c>
      <c r="Q205" s="27">
        <f t="shared" si="142"/>
        <v>39.098295335008686</v>
      </c>
      <c r="R205" s="27">
        <f t="shared" si="142"/>
        <v>34.53060581953287</v>
      </c>
      <c r="S205" s="27">
        <f t="shared" si="142"/>
        <v>28.700907459416257</v>
      </c>
      <c r="T205" s="27">
        <f t="shared" si="142"/>
        <v>23.245400038993612</v>
      </c>
      <c r="U205" s="27">
        <f t="shared" si="142"/>
        <v>18.93996515527041</v>
      </c>
      <c r="V205" s="27">
        <f t="shared" si="142"/>
        <v>15.81544548658632</v>
      </c>
      <c r="W205" s="27">
        <f t="shared" si="142"/>
        <v>13.63855289041817</v>
      </c>
      <c r="X205" s="27">
        <f t="shared" si="142"/>
        <v>12.168200013757808</v>
      </c>
      <c r="Y205" s="27">
        <f t="shared" si="142"/>
        <v>11.191186124572987</v>
      </c>
      <c r="Z205" s="28">
        <f t="shared" si="142"/>
        <v>10.568787682670765</v>
      </c>
    </row>
    <row r="206" spans="1:26" ht="16.5" thickBot="1">
      <c r="A206" s="152" t="s">
        <v>168</v>
      </c>
      <c r="B206" s="34">
        <f>-B203</f>
        <v>0</v>
      </c>
      <c r="C206" s="29">
        <f aca="true" t="shared" si="143" ref="C206:Z206">-C203</f>
        <v>0</v>
      </c>
      <c r="D206" s="29">
        <f t="shared" si="143"/>
        <v>0</v>
      </c>
      <c r="E206" s="29">
        <f t="shared" si="143"/>
        <v>0</v>
      </c>
      <c r="F206" s="29">
        <f t="shared" si="143"/>
        <v>0</v>
      </c>
      <c r="G206" s="29">
        <f t="shared" si="143"/>
        <v>0</v>
      </c>
      <c r="H206" s="29">
        <f t="shared" si="143"/>
        <v>0</v>
      </c>
      <c r="I206" s="29">
        <f t="shared" si="143"/>
        <v>0</v>
      </c>
      <c r="J206" s="29">
        <f t="shared" si="143"/>
        <v>0</v>
      </c>
      <c r="K206" s="29">
        <f t="shared" si="143"/>
        <v>0</v>
      </c>
      <c r="L206" s="29">
        <f t="shared" si="143"/>
        <v>0</v>
      </c>
      <c r="M206" s="29">
        <f t="shared" si="143"/>
        <v>0</v>
      </c>
      <c r="N206" s="29">
        <f t="shared" si="143"/>
        <v>7.007999165355971E-15</v>
      </c>
      <c r="O206" s="29">
        <f t="shared" si="143"/>
        <v>0</v>
      </c>
      <c r="P206" s="29">
        <f t="shared" si="143"/>
        <v>0</v>
      </c>
      <c r="Q206" s="29">
        <f t="shared" si="143"/>
        <v>0</v>
      </c>
      <c r="R206" s="29">
        <f t="shared" si="143"/>
        <v>0</v>
      </c>
      <c r="S206" s="29">
        <f t="shared" si="143"/>
        <v>0</v>
      </c>
      <c r="T206" s="29">
        <f t="shared" si="143"/>
        <v>0</v>
      </c>
      <c r="U206" s="29">
        <f t="shared" si="143"/>
        <v>0</v>
      </c>
      <c r="V206" s="29">
        <f t="shared" si="143"/>
        <v>0</v>
      </c>
      <c r="W206" s="29">
        <f t="shared" si="143"/>
        <v>0</v>
      </c>
      <c r="X206" s="29">
        <f t="shared" si="143"/>
        <v>0</v>
      </c>
      <c r="Y206" s="29">
        <f t="shared" si="143"/>
        <v>0</v>
      </c>
      <c r="Z206" s="30">
        <f t="shared" si="143"/>
        <v>2.0364647036285108E-15</v>
      </c>
    </row>
    <row r="207" spans="1:26" ht="16.5" thickBot="1">
      <c r="A207" s="144" t="s">
        <v>169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>
      <c r="A208" s="151" t="s">
        <v>170</v>
      </c>
      <c r="B208" s="32">
        <f aca="true" t="shared" si="144" ref="B208:Z208">B171+B205</f>
        <v>10.849595475133482</v>
      </c>
      <c r="C208" s="25">
        <f t="shared" si="144"/>
        <v>11.61010308564854</v>
      </c>
      <c r="D208" s="25">
        <f t="shared" si="144"/>
        <v>11.77995717909448</v>
      </c>
      <c r="E208" s="25">
        <f t="shared" si="144"/>
        <v>12.3725167095413</v>
      </c>
      <c r="F208" s="25">
        <f t="shared" si="144"/>
        <v>13.620663277861649</v>
      </c>
      <c r="G208" s="25">
        <f t="shared" si="144"/>
        <v>15.579046145503797</v>
      </c>
      <c r="H208" s="25">
        <f t="shared" si="144"/>
        <v>18.14049010941812</v>
      </c>
      <c r="I208" s="25">
        <f t="shared" si="144"/>
        <v>21.061677123182644</v>
      </c>
      <c r="J208" s="25">
        <f t="shared" si="144"/>
        <v>24.043370541723675</v>
      </c>
      <c r="K208" s="25">
        <f t="shared" si="144"/>
        <v>26.887329079888843</v>
      </c>
      <c r="L208" s="25">
        <f t="shared" si="144"/>
        <v>29.711910759338462</v>
      </c>
      <c r="M208" s="25">
        <f t="shared" si="144"/>
        <v>32.98874818125658</v>
      </c>
      <c r="N208" s="25">
        <f t="shared" si="144"/>
        <v>36.963815017365846</v>
      </c>
      <c r="O208" s="25">
        <f t="shared" si="144"/>
        <v>40.73844209756551</v>
      </c>
      <c r="P208" s="25">
        <f t="shared" si="144"/>
        <v>42.42621246773191</v>
      </c>
      <c r="Q208" s="25">
        <f t="shared" si="144"/>
        <v>40.695003295368124</v>
      </c>
      <c r="R208" s="25">
        <f t="shared" si="144"/>
        <v>35.96069716607283</v>
      </c>
      <c r="S208" s="25">
        <f t="shared" si="144"/>
        <v>29.969455392657682</v>
      </c>
      <c r="T208" s="25">
        <f t="shared" si="144"/>
        <v>24.411446570884145</v>
      </c>
      <c r="U208" s="25">
        <f t="shared" si="144"/>
        <v>20.05679540190787</v>
      </c>
      <c r="V208" s="25">
        <f t="shared" si="144"/>
        <v>16.91790604859274</v>
      </c>
      <c r="W208" s="25">
        <f t="shared" si="144"/>
        <v>14.75423007607625</v>
      </c>
      <c r="X208" s="25">
        <f t="shared" si="144"/>
        <v>13.312657945056692</v>
      </c>
      <c r="Y208" s="25">
        <f t="shared" si="144"/>
        <v>12.343181704799644</v>
      </c>
      <c r="Z208" s="26">
        <f t="shared" si="144"/>
        <v>11.66494709660261</v>
      </c>
    </row>
    <row r="209" spans="1:26" ht="15.75">
      <c r="A209" s="150" t="s">
        <v>171</v>
      </c>
      <c r="B209" s="33">
        <f aca="true" t="shared" si="145" ref="B209:Z209">B172+B206</f>
        <v>24.409177731713257</v>
      </c>
      <c r="C209" s="27">
        <f t="shared" si="145"/>
        <v>25.18406848201875</v>
      </c>
      <c r="D209" s="27">
        <f t="shared" si="145"/>
        <v>24.533512507660806</v>
      </c>
      <c r="E209" s="27">
        <f t="shared" si="145"/>
        <v>23.51868042038181</v>
      </c>
      <c r="F209" s="27">
        <f t="shared" si="145"/>
        <v>22.393854701158087</v>
      </c>
      <c r="G209" s="27">
        <f t="shared" si="145"/>
        <v>21.28402830631486</v>
      </c>
      <c r="H209" s="27">
        <f t="shared" si="145"/>
        <v>20.225596877155116</v>
      </c>
      <c r="I209" s="27">
        <f t="shared" si="145"/>
        <v>19.20021285153281</v>
      </c>
      <c r="J209" s="27">
        <f t="shared" si="145"/>
        <v>18.198522875530852</v>
      </c>
      <c r="K209" s="27">
        <f t="shared" si="145"/>
        <v>17.314366590404532</v>
      </c>
      <c r="L209" s="27">
        <f t="shared" si="145"/>
        <v>16.847215853420035</v>
      </c>
      <c r="M209" s="27">
        <f t="shared" si="145"/>
        <v>17.30149116949875</v>
      </c>
      <c r="N209" s="27">
        <f t="shared" si="145"/>
        <v>19.104303080053555</v>
      </c>
      <c r="O209" s="27">
        <f t="shared" si="145"/>
        <v>22.116448211688983</v>
      </c>
      <c r="P209" s="27">
        <f t="shared" si="145"/>
        <v>25.448085026429062</v>
      </c>
      <c r="Q209" s="27">
        <f t="shared" si="145"/>
        <v>27.899759327224874</v>
      </c>
      <c r="R209" s="27">
        <f t="shared" si="145"/>
        <v>28.717794085799614</v>
      </c>
      <c r="S209" s="27">
        <f t="shared" si="145"/>
        <v>28.059469450994143</v>
      </c>
      <c r="T209" s="27">
        <f t="shared" si="145"/>
        <v>26.7526636814435</v>
      </c>
      <c r="U209" s="27">
        <f t="shared" si="145"/>
        <v>25.62127846493138</v>
      </c>
      <c r="V209" s="27">
        <f t="shared" si="145"/>
        <v>25.057606195060142</v>
      </c>
      <c r="W209" s="27">
        <f t="shared" si="145"/>
        <v>25.054167611815586</v>
      </c>
      <c r="X209" s="27">
        <f t="shared" si="145"/>
        <v>25.380015344428852</v>
      </c>
      <c r="Y209" s="27">
        <f t="shared" si="145"/>
        <v>25.695693111910998</v>
      </c>
      <c r="Z209" s="28">
        <f t="shared" si="145"/>
        <v>25.697665255566864</v>
      </c>
    </row>
    <row r="210" spans="1:26" ht="15.75">
      <c r="A210" s="76" t="s">
        <v>26</v>
      </c>
      <c r="B210" s="77">
        <f aca="true" t="shared" si="146" ref="B210:Z210">B208*B49+B209*B50-B174</f>
        <v>0</v>
      </c>
      <c r="C210" s="78">
        <f t="shared" si="146"/>
        <v>0</v>
      </c>
      <c r="D210" s="78">
        <f t="shared" si="146"/>
        <v>0</v>
      </c>
      <c r="E210" s="78">
        <f t="shared" si="146"/>
        <v>0</v>
      </c>
      <c r="F210" s="78">
        <f t="shared" si="146"/>
        <v>0</v>
      </c>
      <c r="G210" s="78">
        <f t="shared" si="146"/>
        <v>0</v>
      </c>
      <c r="H210" s="78">
        <f t="shared" si="146"/>
        <v>0</v>
      </c>
      <c r="I210" s="78">
        <f t="shared" si="146"/>
        <v>0</v>
      </c>
      <c r="J210" s="78">
        <f t="shared" si="146"/>
        <v>0</v>
      </c>
      <c r="K210" s="78">
        <f t="shared" si="146"/>
        <v>0</v>
      </c>
      <c r="L210" s="78">
        <f t="shared" si="146"/>
        <v>0</v>
      </c>
      <c r="M210" s="78">
        <f t="shared" si="146"/>
        <v>0</v>
      </c>
      <c r="N210" s="78">
        <f t="shared" si="146"/>
        <v>0</v>
      </c>
      <c r="O210" s="78">
        <f t="shared" si="146"/>
        <v>0</v>
      </c>
      <c r="P210" s="78">
        <f t="shared" si="146"/>
        <v>0</v>
      </c>
      <c r="Q210" s="78">
        <f t="shared" si="146"/>
        <v>0</v>
      </c>
      <c r="R210" s="78">
        <f t="shared" si="146"/>
        <v>0</v>
      </c>
      <c r="S210" s="78">
        <f t="shared" si="146"/>
        <v>0</v>
      </c>
      <c r="T210" s="78">
        <f t="shared" si="146"/>
        <v>0</v>
      </c>
      <c r="U210" s="78">
        <f t="shared" si="146"/>
        <v>0</v>
      </c>
      <c r="V210" s="78">
        <f t="shared" si="146"/>
        <v>0</v>
      </c>
      <c r="W210" s="78">
        <f t="shared" si="146"/>
        <v>0</v>
      </c>
      <c r="X210" s="78">
        <f t="shared" si="146"/>
        <v>0</v>
      </c>
      <c r="Y210" s="78">
        <f t="shared" si="146"/>
        <v>0</v>
      </c>
      <c r="Z210" s="79">
        <f t="shared" si="146"/>
        <v>0</v>
      </c>
    </row>
    <row r="211" spans="1:26" ht="15.75">
      <c r="A211" s="150" t="s">
        <v>172</v>
      </c>
      <c r="B211" s="33">
        <f>B178+B202</f>
        <v>-10.136281705266878</v>
      </c>
      <c r="C211" s="27">
        <f aca="true" t="shared" si="147" ref="C211:Z211">C178+C202</f>
        <v>-10.930612459825467</v>
      </c>
      <c r="D211" s="27">
        <f t="shared" si="147"/>
        <v>-12.202910666307385</v>
      </c>
      <c r="E211" s="27">
        <f t="shared" si="147"/>
        <v>-13.655023666279698</v>
      </c>
      <c r="F211" s="27">
        <f t="shared" si="147"/>
        <v>-15.058833191715745</v>
      </c>
      <c r="G211" s="27">
        <f t="shared" si="147"/>
        <v>-16.28743352779005</v>
      </c>
      <c r="H211" s="27">
        <f t="shared" si="147"/>
        <v>-17.32562782347606</v>
      </c>
      <c r="I211" s="27">
        <f t="shared" si="147"/>
        <v>-18.233561156460475</v>
      </c>
      <c r="J211" s="27">
        <f t="shared" si="147"/>
        <v>-19.11010164624999</v>
      </c>
      <c r="K211" s="27">
        <f t="shared" si="147"/>
        <v>-20.11728660661465</v>
      </c>
      <c r="L211" s="27">
        <f t="shared" si="147"/>
        <v>-21.59886587439439</v>
      </c>
      <c r="M211" s="27">
        <f t="shared" si="147"/>
        <v>-24.120900404154057</v>
      </c>
      <c r="N211" s="27">
        <f t="shared" si="147"/>
        <v>-28.004057360849384</v>
      </c>
      <c r="O211" s="27">
        <f t="shared" si="147"/>
        <v>-32.46701666285387</v>
      </c>
      <c r="P211" s="27">
        <f t="shared" si="147"/>
        <v>-35.63068653657896</v>
      </c>
      <c r="Q211" s="27">
        <f t="shared" si="147"/>
        <v>-35.828871151667926</v>
      </c>
      <c r="R211" s="27">
        <f t="shared" si="147"/>
        <v>-32.842371945461814</v>
      </c>
      <c r="S211" s="27">
        <f t="shared" si="147"/>
        <v>-27.896459089520267</v>
      </c>
      <c r="T211" s="27">
        <f t="shared" si="147"/>
        <v>-22.637426599792725</v>
      </c>
      <c r="U211" s="27">
        <f t="shared" si="147"/>
        <v>-18.153758993815668</v>
      </c>
      <c r="V211" s="27">
        <f t="shared" si="147"/>
        <v>-14.776142174733126</v>
      </c>
      <c r="W211" s="27">
        <f t="shared" si="147"/>
        <v>-12.429722476454357</v>
      </c>
      <c r="X211" s="27">
        <f t="shared" si="147"/>
        <v>-10.980197893066636</v>
      </c>
      <c r="Y211" s="27">
        <f t="shared" si="147"/>
        <v>-10.35427942137442</v>
      </c>
      <c r="Z211" s="28">
        <f t="shared" si="147"/>
        <v>-10.501223446362868</v>
      </c>
    </row>
    <row r="212" spans="1:26" ht="15.75">
      <c r="A212" s="150" t="s">
        <v>173</v>
      </c>
      <c r="B212" s="33">
        <f>B179+B203</f>
        <v>49.20502370932883</v>
      </c>
      <c r="C212" s="27">
        <f aca="true" t="shared" si="148" ref="C212:Z212">C179+C203</f>
        <v>50.77476944626666</v>
      </c>
      <c r="D212" s="27">
        <f t="shared" si="148"/>
        <v>49.294174119531384</v>
      </c>
      <c r="E212" s="27">
        <f t="shared" si="148"/>
        <v>47.00594983107089</v>
      </c>
      <c r="F212" s="27">
        <f t="shared" si="148"/>
        <v>44.47912567194203</v>
      </c>
      <c r="G212" s="27">
        <f t="shared" si="148"/>
        <v>42.06190210594063</v>
      </c>
      <c r="H212" s="27">
        <f t="shared" si="148"/>
        <v>39.94471712885341</v>
      </c>
      <c r="I212" s="27">
        <f t="shared" si="148"/>
        <v>38.19331549988365</v>
      </c>
      <c r="J212" s="27">
        <f t="shared" si="148"/>
        <v>36.83370491025918</v>
      </c>
      <c r="K212" s="27">
        <f t="shared" si="148"/>
        <v>35.99190528774332</v>
      </c>
      <c r="L212" s="27">
        <f t="shared" si="148"/>
        <v>36.05710195775628</v>
      </c>
      <c r="M212" s="27">
        <f t="shared" si="148"/>
        <v>37.69546210776402</v>
      </c>
      <c r="N212" s="27">
        <f t="shared" si="148"/>
        <v>41.43326666545098</v>
      </c>
      <c r="O212" s="27">
        <f t="shared" si="148"/>
        <v>46.915677309560536</v>
      </c>
      <c r="P212" s="27">
        <f t="shared" si="148"/>
        <v>52.62455040413144</v>
      </c>
      <c r="Q212" s="27">
        <f t="shared" si="148"/>
        <v>56.58354557838214</v>
      </c>
      <c r="R212" s="27">
        <f t="shared" si="148"/>
        <v>57.60986368156638</v>
      </c>
      <c r="S212" s="27">
        <f t="shared" si="148"/>
        <v>56.09704877862683</v>
      </c>
      <c r="T212" s="27">
        <f t="shared" si="148"/>
        <v>53.56969657298164</v>
      </c>
      <c r="U212" s="27">
        <f t="shared" si="148"/>
        <v>51.48863335052708</v>
      </c>
      <c r="V212" s="27">
        <f t="shared" si="148"/>
        <v>50.51716493500102</v>
      </c>
      <c r="W212" s="27">
        <f t="shared" si="148"/>
        <v>50.60182302815815</v>
      </c>
      <c r="X212" s="27">
        <f t="shared" si="148"/>
        <v>51.2880381935296</v>
      </c>
      <c r="Y212" s="27">
        <f t="shared" si="148"/>
        <v>51.914318090912204</v>
      </c>
      <c r="Z212" s="28">
        <f t="shared" si="148"/>
        <v>51.8730321803137</v>
      </c>
    </row>
    <row r="213" spans="1:26" ht="15.75">
      <c r="A213" s="76" t="s">
        <v>26</v>
      </c>
      <c r="B213" s="77">
        <f aca="true" t="shared" si="149" ref="B213:Z213">B211*B33+B212*B34-B181</f>
        <v>0</v>
      </c>
      <c r="C213" s="78">
        <f t="shared" si="149"/>
        <v>0</v>
      </c>
      <c r="D213" s="78">
        <f t="shared" si="149"/>
        <v>0</v>
      </c>
      <c r="E213" s="78">
        <f t="shared" si="149"/>
        <v>0</v>
      </c>
      <c r="F213" s="78">
        <f t="shared" si="149"/>
        <v>0</v>
      </c>
      <c r="G213" s="78">
        <f t="shared" si="149"/>
        <v>0</v>
      </c>
      <c r="H213" s="78">
        <f t="shared" si="149"/>
        <v>0</v>
      </c>
      <c r="I213" s="78">
        <f t="shared" si="149"/>
        <v>0</v>
      </c>
      <c r="J213" s="78">
        <f t="shared" si="149"/>
        <v>0</v>
      </c>
      <c r="K213" s="78">
        <f t="shared" si="149"/>
        <v>0</v>
      </c>
      <c r="L213" s="78">
        <f t="shared" si="149"/>
        <v>0</v>
      </c>
      <c r="M213" s="78">
        <f t="shared" si="149"/>
        <v>0</v>
      </c>
      <c r="N213" s="78">
        <f t="shared" si="149"/>
        <v>0</v>
      </c>
      <c r="O213" s="78">
        <f t="shared" si="149"/>
        <v>0</v>
      </c>
      <c r="P213" s="78">
        <f t="shared" si="149"/>
        <v>0</v>
      </c>
      <c r="Q213" s="78">
        <f t="shared" si="149"/>
        <v>0</v>
      </c>
      <c r="R213" s="78">
        <f t="shared" si="149"/>
        <v>0</v>
      </c>
      <c r="S213" s="78">
        <f t="shared" si="149"/>
        <v>0</v>
      </c>
      <c r="T213" s="78">
        <f t="shared" si="149"/>
        <v>0</v>
      </c>
      <c r="U213" s="78">
        <f t="shared" si="149"/>
        <v>0</v>
      </c>
      <c r="V213" s="78">
        <f t="shared" si="149"/>
        <v>0</v>
      </c>
      <c r="W213" s="78">
        <f t="shared" si="149"/>
        <v>0</v>
      </c>
      <c r="X213" s="78">
        <f t="shared" si="149"/>
        <v>0</v>
      </c>
      <c r="Y213" s="78">
        <f t="shared" si="149"/>
        <v>0</v>
      </c>
      <c r="Z213" s="79">
        <f t="shared" si="149"/>
        <v>0</v>
      </c>
    </row>
    <row r="214" spans="1:26" ht="16.5" thickBot="1">
      <c r="A214" s="72" t="s">
        <v>201</v>
      </c>
      <c r="B214" s="73">
        <f aca="true" t="shared" si="150" ref="B214:Z214">B185*B33+B186*B34+B187*B24-B211*B33-B212*B34</f>
        <v>0</v>
      </c>
      <c r="C214" s="74">
        <f t="shared" si="150"/>
        <v>0</v>
      </c>
      <c r="D214" s="74">
        <f t="shared" si="150"/>
        <v>0</v>
      </c>
      <c r="E214" s="74">
        <f t="shared" si="150"/>
        <v>0</v>
      </c>
      <c r="F214" s="74">
        <f t="shared" si="150"/>
        <v>0</v>
      </c>
      <c r="G214" s="74">
        <f t="shared" si="150"/>
        <v>0</v>
      </c>
      <c r="H214" s="74">
        <f t="shared" si="150"/>
        <v>0</v>
      </c>
      <c r="I214" s="74">
        <f t="shared" si="150"/>
        <v>0</v>
      </c>
      <c r="J214" s="74">
        <f t="shared" si="150"/>
        <v>0</v>
      </c>
      <c r="K214" s="74">
        <f t="shared" si="150"/>
        <v>0</v>
      </c>
      <c r="L214" s="74">
        <f t="shared" si="150"/>
        <v>0</v>
      </c>
      <c r="M214" s="74">
        <f t="shared" si="150"/>
        <v>0</v>
      </c>
      <c r="N214" s="74">
        <f t="shared" si="150"/>
        <v>0</v>
      </c>
      <c r="O214" s="74">
        <f t="shared" si="150"/>
        <v>0</v>
      </c>
      <c r="P214" s="74">
        <f t="shared" si="150"/>
        <v>0</v>
      </c>
      <c r="Q214" s="74">
        <f t="shared" si="150"/>
        <v>0</v>
      </c>
      <c r="R214" s="74">
        <f t="shared" si="150"/>
        <v>0</v>
      </c>
      <c r="S214" s="74">
        <f t="shared" si="150"/>
        <v>0</v>
      </c>
      <c r="T214" s="74">
        <f t="shared" si="150"/>
        <v>-2.3314683517128287E-15</v>
      </c>
      <c r="U214" s="74">
        <f t="shared" si="150"/>
        <v>0</v>
      </c>
      <c r="V214" s="74">
        <f t="shared" si="150"/>
        <v>0</v>
      </c>
      <c r="W214" s="74">
        <f t="shared" si="150"/>
        <v>0</v>
      </c>
      <c r="X214" s="74">
        <f t="shared" si="150"/>
        <v>0</v>
      </c>
      <c r="Y214" s="74">
        <f t="shared" si="150"/>
        <v>0</v>
      </c>
      <c r="Z214" s="75">
        <f t="shared" si="150"/>
        <v>0</v>
      </c>
    </row>
    <row r="215" ht="16.5" thickBot="1"/>
    <row r="216" spans="1:26" ht="16.5" thickBot="1">
      <c r="A216" s="144" t="s">
        <v>182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>
      <c r="A217" s="151" t="s">
        <v>174</v>
      </c>
      <c r="B217" s="32">
        <f aca="true" t="shared" si="151" ref="B217:Z217">B86-B211*B32-B84*B77+B212*B31+($K$2+B85)*B76</f>
        <v>56.73081147108429</v>
      </c>
      <c r="C217" s="25">
        <f t="shared" si="151"/>
        <v>60.240565804986495</v>
      </c>
      <c r="D217" s="25">
        <f t="shared" si="151"/>
        <v>56.27563964103719</v>
      </c>
      <c r="E217" s="25">
        <f t="shared" si="151"/>
        <v>48.923173911376985</v>
      </c>
      <c r="F217" s="25">
        <f t="shared" si="151"/>
        <v>39.463572463260384</v>
      </c>
      <c r="G217" s="25">
        <f t="shared" si="151"/>
        <v>28.696522426892866</v>
      </c>
      <c r="H217" s="25">
        <f t="shared" si="151"/>
        <v>17.17899393536131</v>
      </c>
      <c r="I217" s="25">
        <f t="shared" si="151"/>
        <v>5.37971868652317</v>
      </c>
      <c r="J217" s="25">
        <f t="shared" si="151"/>
        <v>-6.251830541871617</v>
      </c>
      <c r="K217" s="25">
        <f t="shared" si="151"/>
        <v>-17.356791987646474</v>
      </c>
      <c r="L217" s="25">
        <f t="shared" si="151"/>
        <v>-27.912152297256135</v>
      </c>
      <c r="M217" s="25">
        <f t="shared" si="151"/>
        <v>-38.54223625695395</v>
      </c>
      <c r="N217" s="25">
        <f t="shared" si="151"/>
        <v>-50.18745189742166</v>
      </c>
      <c r="O217" s="25">
        <f t="shared" si="151"/>
        <v>-62.3118010713285</v>
      </c>
      <c r="P217" s="25">
        <f t="shared" si="151"/>
        <v>-71.24571771245466</v>
      </c>
      <c r="Q217" s="25">
        <f t="shared" si="151"/>
        <v>-71.88240134319427</v>
      </c>
      <c r="R217" s="25">
        <f t="shared" si="151"/>
        <v>-61.92859567946963</v>
      </c>
      <c r="S217" s="25">
        <f t="shared" si="151"/>
        <v>-43.88966390512907</v>
      </c>
      <c r="T217" s="25">
        <f t="shared" si="151"/>
        <v>-22.613032130145623</v>
      </c>
      <c r="U217" s="25">
        <f t="shared" si="151"/>
        <v>-1.7673800743478796</v>
      </c>
      <c r="V217" s="25">
        <f t="shared" si="151"/>
        <v>17.10005483471496</v>
      </c>
      <c r="W217" s="25">
        <f t="shared" si="151"/>
        <v>33.46416339641178</v>
      </c>
      <c r="X217" s="25">
        <f t="shared" si="151"/>
        <v>46.76401174975464</v>
      </c>
      <c r="Y217" s="25">
        <f t="shared" si="151"/>
        <v>56.11691015608955</v>
      </c>
      <c r="Z217" s="26">
        <f t="shared" si="151"/>
        <v>60.7375593192549</v>
      </c>
    </row>
    <row r="218" spans="1:26" ht="16.5" thickBot="1">
      <c r="A218" s="72" t="s">
        <v>26</v>
      </c>
      <c r="B218" s="73">
        <f aca="true" t="shared" si="152" ref="B218:Z218">B217/B194</f>
        <v>1</v>
      </c>
      <c r="C218" s="74">
        <f t="shared" si="152"/>
        <v>0.9999999999999999</v>
      </c>
      <c r="D218" s="74">
        <f t="shared" si="152"/>
        <v>0.9999999999999999</v>
      </c>
      <c r="E218" s="74">
        <f t="shared" si="152"/>
        <v>1</v>
      </c>
      <c r="F218" s="74">
        <f t="shared" si="152"/>
        <v>0.9999999999999998</v>
      </c>
      <c r="G218" s="74">
        <f t="shared" si="152"/>
        <v>1</v>
      </c>
      <c r="H218" s="74">
        <f t="shared" si="152"/>
        <v>0.9999999999999998</v>
      </c>
      <c r="I218" s="74">
        <f t="shared" si="152"/>
        <v>0.9999999999999989</v>
      </c>
      <c r="J218" s="74">
        <f t="shared" si="152"/>
        <v>1.0000000000000002</v>
      </c>
      <c r="K218" s="74">
        <f t="shared" si="152"/>
        <v>1.0000000000000004</v>
      </c>
      <c r="L218" s="74">
        <f t="shared" si="152"/>
        <v>1</v>
      </c>
      <c r="M218" s="74">
        <f t="shared" si="152"/>
        <v>1.0000000000000002</v>
      </c>
      <c r="N218" s="74">
        <f t="shared" si="152"/>
        <v>0.9999999999999999</v>
      </c>
      <c r="O218" s="74">
        <f t="shared" si="152"/>
        <v>1</v>
      </c>
      <c r="P218" s="74">
        <f t="shared" si="152"/>
        <v>0.9999999999999998</v>
      </c>
      <c r="Q218" s="74">
        <f t="shared" si="152"/>
        <v>1</v>
      </c>
      <c r="R218" s="74">
        <f t="shared" si="152"/>
        <v>0.9999999999999999</v>
      </c>
      <c r="S218" s="74">
        <f t="shared" si="152"/>
        <v>1</v>
      </c>
      <c r="T218" s="74">
        <f t="shared" si="152"/>
        <v>1</v>
      </c>
      <c r="U218" s="74">
        <f t="shared" si="152"/>
        <v>0.9999999999999998</v>
      </c>
      <c r="V218" s="74">
        <f t="shared" si="152"/>
        <v>1.0000000000000002</v>
      </c>
      <c r="W218" s="74">
        <f t="shared" si="152"/>
        <v>0.9999999999999998</v>
      </c>
      <c r="X218" s="74">
        <f t="shared" si="152"/>
        <v>1</v>
      </c>
      <c r="Y218" s="74">
        <f t="shared" si="152"/>
        <v>1</v>
      </c>
      <c r="Z218" s="75">
        <f t="shared" si="152"/>
        <v>1.0000000000000002</v>
      </c>
    </row>
    <row r="219" spans="2:26" ht="16.5" thickBot="1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6.5" thickBot="1">
      <c r="A220" s="142" t="s">
        <v>175</v>
      </c>
      <c r="B220" s="145"/>
      <c r="C220" s="146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>
      <c r="A221" s="147" t="s">
        <v>177</v>
      </c>
      <c r="B221" s="86">
        <f aca="true" t="shared" si="153" ref="B221:Z221">B49*ABS(B167)/(B49^2+B50^2)</f>
        <v>0</v>
      </c>
      <c r="C221" s="86">
        <f t="shared" si="153"/>
        <v>0</v>
      </c>
      <c r="D221" s="86">
        <f t="shared" si="153"/>
        <v>0</v>
      </c>
      <c r="E221" s="86">
        <f t="shared" si="153"/>
        <v>0</v>
      </c>
      <c r="F221" s="86">
        <f t="shared" si="153"/>
        <v>0</v>
      </c>
      <c r="G221" s="86">
        <f t="shared" si="153"/>
        <v>0</v>
      </c>
      <c r="H221" s="86">
        <f t="shared" si="153"/>
        <v>0</v>
      </c>
      <c r="I221" s="86">
        <f t="shared" si="153"/>
        <v>0</v>
      </c>
      <c r="J221" s="86">
        <f t="shared" si="153"/>
        <v>0</v>
      </c>
      <c r="K221" s="86">
        <f t="shared" si="153"/>
        <v>0</v>
      </c>
      <c r="L221" s="86">
        <f t="shared" si="153"/>
        <v>0</v>
      </c>
      <c r="M221" s="86">
        <f t="shared" si="153"/>
        <v>0</v>
      </c>
      <c r="N221" s="86">
        <f t="shared" si="153"/>
        <v>2.251945911165586E-15</v>
      </c>
      <c r="O221" s="86">
        <f t="shared" si="153"/>
        <v>0</v>
      </c>
      <c r="P221" s="86">
        <f t="shared" si="153"/>
        <v>0</v>
      </c>
      <c r="Q221" s="86">
        <f t="shared" si="153"/>
        <v>0</v>
      </c>
      <c r="R221" s="86">
        <f t="shared" si="153"/>
        <v>0</v>
      </c>
      <c r="S221" s="86">
        <f t="shared" si="153"/>
        <v>0</v>
      </c>
      <c r="T221" s="86">
        <f t="shared" si="153"/>
        <v>0</v>
      </c>
      <c r="U221" s="86">
        <f t="shared" si="153"/>
        <v>0</v>
      </c>
      <c r="V221" s="86">
        <f t="shared" si="153"/>
        <v>0</v>
      </c>
      <c r="W221" s="86">
        <f t="shared" si="153"/>
        <v>0</v>
      </c>
      <c r="X221" s="86">
        <f t="shared" si="153"/>
        <v>0</v>
      </c>
      <c r="Y221" s="86">
        <f t="shared" si="153"/>
        <v>0</v>
      </c>
      <c r="Z221" s="86">
        <f t="shared" si="153"/>
        <v>-2.91201526165827E-15</v>
      </c>
    </row>
    <row r="222" spans="1:26" ht="15.75">
      <c r="A222" s="148" t="s">
        <v>176</v>
      </c>
      <c r="B222" s="87">
        <f aca="true" t="shared" si="154" ref="B222:Z222">B50*(B167)/(B49^2+B50^2)</f>
        <v>14.365048543183521</v>
      </c>
      <c r="C222" s="87">
        <f t="shared" si="154"/>
        <v>14.791201915269937</v>
      </c>
      <c r="D222" s="87">
        <f t="shared" si="154"/>
        <v>14.371958772384781</v>
      </c>
      <c r="E222" s="87">
        <f t="shared" si="154"/>
        <v>13.740450150511903</v>
      </c>
      <c r="F222" s="87">
        <f t="shared" si="154"/>
        <v>13.05755172539443</v>
      </c>
      <c r="G222" s="87">
        <f t="shared" si="154"/>
        <v>12.407625372332555</v>
      </c>
      <c r="H222" s="87">
        <f t="shared" si="154"/>
        <v>11.818549647869856</v>
      </c>
      <c r="I222" s="87">
        <f t="shared" si="154"/>
        <v>11.279014475216014</v>
      </c>
      <c r="J222" s="87">
        <f t="shared" si="154"/>
        <v>10.775105914596223</v>
      </c>
      <c r="K222" s="87">
        <f t="shared" si="154"/>
        <v>10.345716468453675</v>
      </c>
      <c r="L222" s="87">
        <f t="shared" si="154"/>
        <v>10.143752109745824</v>
      </c>
      <c r="M222" s="87">
        <f t="shared" si="154"/>
        <v>10.441555922796688</v>
      </c>
      <c r="N222" s="87">
        <f t="shared" si="154"/>
        <v>11.479111682667579</v>
      </c>
      <c r="O222" s="87">
        <f t="shared" si="154"/>
        <v>13.188081098172969</v>
      </c>
      <c r="P222" s="87">
        <f t="shared" si="154"/>
        <v>15.075493698083811</v>
      </c>
      <c r="Q222" s="87">
        <f t="shared" si="154"/>
        <v>16.463416170217265</v>
      </c>
      <c r="R222" s="87">
        <f t="shared" si="154"/>
        <v>16.920569089710508</v>
      </c>
      <c r="S222" s="87">
        <f t="shared" si="154"/>
        <v>16.534590896302884</v>
      </c>
      <c r="T222" s="87">
        <f t="shared" si="154"/>
        <v>15.778303117810557</v>
      </c>
      <c r="U222" s="87">
        <f t="shared" si="154"/>
        <v>15.123708329432768</v>
      </c>
      <c r="V222" s="87">
        <f t="shared" si="154"/>
        <v>14.795863638747003</v>
      </c>
      <c r="W222" s="87">
        <f t="shared" si="154"/>
        <v>14.789845540568368</v>
      </c>
      <c r="X222" s="87">
        <f t="shared" si="154"/>
        <v>14.970545299773073</v>
      </c>
      <c r="Y222" s="87">
        <f t="shared" si="154"/>
        <v>15.138051403772804</v>
      </c>
      <c r="Z222" s="87">
        <f t="shared" si="154"/>
        <v>15.112695532766477</v>
      </c>
    </row>
    <row r="223" spans="1:26" ht="15.75">
      <c r="A223" s="148" t="s">
        <v>178</v>
      </c>
      <c r="B223" s="87">
        <f aca="true" t="shared" si="155" ref="B223:Z223">B49*ABS(B174)/(B49^2+B50^2)</f>
        <v>0</v>
      </c>
      <c r="C223" s="87">
        <f t="shared" si="155"/>
        <v>0</v>
      </c>
      <c r="D223" s="87">
        <f t="shared" si="155"/>
        <v>0</v>
      </c>
      <c r="E223" s="87">
        <f t="shared" si="155"/>
        <v>0</v>
      </c>
      <c r="F223" s="87">
        <f t="shared" si="155"/>
        <v>0</v>
      </c>
      <c r="G223" s="87">
        <f t="shared" si="155"/>
        <v>0</v>
      </c>
      <c r="H223" s="87">
        <f t="shared" si="155"/>
        <v>0</v>
      </c>
      <c r="I223" s="87">
        <f t="shared" si="155"/>
        <v>0</v>
      </c>
      <c r="J223" s="87">
        <f t="shared" si="155"/>
        <v>0</v>
      </c>
      <c r="K223" s="87">
        <f t="shared" si="155"/>
        <v>0</v>
      </c>
      <c r="L223" s="87">
        <f t="shared" si="155"/>
        <v>0</v>
      </c>
      <c r="M223" s="87">
        <f t="shared" si="155"/>
        <v>0</v>
      </c>
      <c r="N223" s="87">
        <f t="shared" si="155"/>
        <v>3.7478385432693205E-15</v>
      </c>
      <c r="O223" s="87">
        <f t="shared" si="155"/>
        <v>0</v>
      </c>
      <c r="P223" s="87">
        <f t="shared" si="155"/>
        <v>0</v>
      </c>
      <c r="Q223" s="87">
        <f t="shared" si="155"/>
        <v>0</v>
      </c>
      <c r="R223" s="87">
        <f t="shared" si="155"/>
        <v>0</v>
      </c>
      <c r="S223" s="87">
        <f t="shared" si="155"/>
        <v>0</v>
      </c>
      <c r="T223" s="87">
        <f t="shared" si="155"/>
        <v>0</v>
      </c>
      <c r="U223" s="87">
        <f t="shared" si="155"/>
        <v>0</v>
      </c>
      <c r="V223" s="87">
        <f t="shared" si="155"/>
        <v>0</v>
      </c>
      <c r="W223" s="87">
        <f t="shared" si="155"/>
        <v>0</v>
      </c>
      <c r="X223" s="87">
        <f t="shared" si="155"/>
        <v>0</v>
      </c>
      <c r="Y223" s="87">
        <f t="shared" si="155"/>
        <v>0</v>
      </c>
      <c r="Z223" s="87">
        <f t="shared" si="155"/>
        <v>-4.951598029018036E-15</v>
      </c>
    </row>
    <row r="224" spans="1:26" ht="15.75">
      <c r="A224" s="148" t="s">
        <v>179</v>
      </c>
      <c r="B224" s="87">
        <f aca="true" t="shared" si="156" ref="B224:Z224">B50*(B174)/(B49^2+B50^2)</f>
        <v>24.40917773171326</v>
      </c>
      <c r="C224" s="87">
        <f t="shared" si="156"/>
        <v>25.18406848201875</v>
      </c>
      <c r="D224" s="87">
        <f t="shared" si="156"/>
        <v>24.53351250766081</v>
      </c>
      <c r="E224" s="87">
        <f t="shared" si="156"/>
        <v>23.51868042038181</v>
      </c>
      <c r="F224" s="87">
        <f t="shared" si="156"/>
        <v>22.393854701158084</v>
      </c>
      <c r="G224" s="87">
        <f t="shared" si="156"/>
        <v>21.28402830631486</v>
      </c>
      <c r="H224" s="87">
        <f t="shared" si="156"/>
        <v>20.22559687715512</v>
      </c>
      <c r="I224" s="87">
        <f t="shared" si="156"/>
        <v>19.20021285153281</v>
      </c>
      <c r="J224" s="87">
        <f t="shared" si="156"/>
        <v>18.198522875530852</v>
      </c>
      <c r="K224" s="87">
        <f t="shared" si="156"/>
        <v>17.314366590404532</v>
      </c>
      <c r="L224" s="87">
        <f t="shared" si="156"/>
        <v>16.847215853420035</v>
      </c>
      <c r="M224" s="87">
        <f t="shared" si="156"/>
        <v>17.30149116949875</v>
      </c>
      <c r="N224" s="87">
        <f t="shared" si="156"/>
        <v>19.104303080053544</v>
      </c>
      <c r="O224" s="87">
        <f t="shared" si="156"/>
        <v>22.116448211688983</v>
      </c>
      <c r="P224" s="87">
        <f t="shared" si="156"/>
        <v>25.448085026429062</v>
      </c>
      <c r="Q224" s="87">
        <f t="shared" si="156"/>
        <v>27.899759327224874</v>
      </c>
      <c r="R224" s="87">
        <f t="shared" si="156"/>
        <v>28.71779408579961</v>
      </c>
      <c r="S224" s="87">
        <f t="shared" si="156"/>
        <v>28.059469450994143</v>
      </c>
      <c r="T224" s="87">
        <f t="shared" si="156"/>
        <v>26.7526636814435</v>
      </c>
      <c r="U224" s="87">
        <f t="shared" si="156"/>
        <v>25.621278464931375</v>
      </c>
      <c r="V224" s="87">
        <f t="shared" si="156"/>
        <v>25.057606195060142</v>
      </c>
      <c r="W224" s="87">
        <f t="shared" si="156"/>
        <v>25.054167611815583</v>
      </c>
      <c r="X224" s="87">
        <f t="shared" si="156"/>
        <v>25.380015344428852</v>
      </c>
      <c r="Y224" s="87">
        <f t="shared" si="156"/>
        <v>25.695693111910998</v>
      </c>
      <c r="Z224" s="87">
        <f t="shared" si="156"/>
        <v>25.69766525556686</v>
      </c>
    </row>
    <row r="225" spans="1:26" ht="15.75">
      <c r="A225" s="148" t="s">
        <v>180</v>
      </c>
      <c r="B225" s="87">
        <f aca="true" t="shared" si="157" ref="B225:Z225">B33*(B181)/(B33^2+B34^2)</f>
        <v>-0.8617026558159433</v>
      </c>
      <c r="C225" s="87">
        <f t="shared" si="157"/>
        <v>-14.283727920011511</v>
      </c>
      <c r="D225" s="87">
        <f t="shared" si="157"/>
        <v>-24.99908175303424</v>
      </c>
      <c r="E225" s="87">
        <f t="shared" si="157"/>
        <v>-30.554446098092825</v>
      </c>
      <c r="F225" s="87">
        <f t="shared" si="157"/>
        <v>-30.37961842083659</v>
      </c>
      <c r="G225" s="87">
        <f t="shared" si="157"/>
        <v>-25.207625335212576</v>
      </c>
      <c r="H225" s="87">
        <f t="shared" si="157"/>
        <v>-16.623325409442057</v>
      </c>
      <c r="I225" s="87">
        <f t="shared" si="157"/>
        <v>-6.7285621665117725</v>
      </c>
      <c r="J225" s="87">
        <f t="shared" si="157"/>
        <v>2.2202400777386027</v>
      </c>
      <c r="K225" s="87">
        <f t="shared" si="157"/>
        <v>8.27738828124347</v>
      </c>
      <c r="L225" s="87">
        <f t="shared" si="157"/>
        <v>10.21247295311486</v>
      </c>
      <c r="M225" s="87">
        <f t="shared" si="157"/>
        <v>7.436769025475991</v>
      </c>
      <c r="N225" s="87">
        <f t="shared" si="157"/>
        <v>-0.7315297342323502</v>
      </c>
      <c r="O225" s="87">
        <f t="shared" si="157"/>
        <v>-14.897473097463243</v>
      </c>
      <c r="P225" s="87">
        <f t="shared" si="157"/>
        <v>-32.6839062748641</v>
      </c>
      <c r="Q225" s="87">
        <f t="shared" si="157"/>
        <v>-46.81417856676597</v>
      </c>
      <c r="R225" s="87">
        <f t="shared" si="157"/>
        <v>-49.55105636872891</v>
      </c>
      <c r="S225" s="87">
        <f t="shared" si="157"/>
        <v>-39.431769824838995</v>
      </c>
      <c r="T225" s="87">
        <f t="shared" si="157"/>
        <v>-21.695753821020464</v>
      </c>
      <c r="U225" s="87">
        <f t="shared" si="157"/>
        <v>-3.132100522559516</v>
      </c>
      <c r="V225" s="87">
        <f t="shared" si="157"/>
        <v>11.445444221982473</v>
      </c>
      <c r="W225" s="87">
        <f t="shared" si="157"/>
        <v>19.287533173455277</v>
      </c>
      <c r="X225" s="87">
        <f t="shared" si="157"/>
        <v>19.166571820591525</v>
      </c>
      <c r="Y225" s="87">
        <f t="shared" si="157"/>
        <v>11.580151357310621</v>
      </c>
      <c r="Z225" s="87">
        <f t="shared" si="157"/>
        <v>-0.9083698885577607</v>
      </c>
    </row>
    <row r="226" spans="1:26" ht="16.5" thickBot="1">
      <c r="A226" s="149" t="s">
        <v>181</v>
      </c>
      <c r="B226" s="88">
        <f aca="true" t="shared" si="158" ref="B226:Z226">B34*(B181)/(B33^2+B34^2)</f>
        <v>49.36691208881889</v>
      </c>
      <c r="C226" s="88">
        <f t="shared" si="158"/>
        <v>49.813279060141795</v>
      </c>
      <c r="D226" s="88">
        <f t="shared" si="158"/>
        <v>41.60545883917812</v>
      </c>
      <c r="E226" s="88">
        <f t="shared" si="158"/>
        <v>29.506085617376048</v>
      </c>
      <c r="F226" s="88">
        <f t="shared" si="158"/>
        <v>16.839697470351</v>
      </c>
      <c r="G226" s="88">
        <f t="shared" si="158"/>
        <v>6.284966881247715</v>
      </c>
      <c r="H226" s="88">
        <f t="shared" si="158"/>
        <v>-0.2901612243446992</v>
      </c>
      <c r="I226" s="88">
        <f t="shared" si="158"/>
        <v>-1.9293841540385381</v>
      </c>
      <c r="J226" s="88">
        <f t="shared" si="158"/>
        <v>1.3340548274998165</v>
      </c>
      <c r="K226" s="88">
        <f t="shared" si="158"/>
        <v>8.57148648424244</v>
      </c>
      <c r="L226" s="88">
        <f t="shared" si="158"/>
        <v>18.423788906836997</v>
      </c>
      <c r="M226" s="88">
        <f t="shared" si="158"/>
        <v>29.827251414489073</v>
      </c>
      <c r="N226" s="88">
        <f t="shared" si="158"/>
        <v>41.909310405930206</v>
      </c>
      <c r="O226" s="88">
        <f t="shared" si="158"/>
        <v>51.95366285682466</v>
      </c>
      <c r="P226" s="88">
        <f t="shared" si="158"/>
        <v>54.395154616323644</v>
      </c>
      <c r="Q226" s="88">
        <f t="shared" si="158"/>
        <v>45.2079267437398</v>
      </c>
      <c r="R226" s="88">
        <f t="shared" si="158"/>
        <v>27.466599054232777</v>
      </c>
      <c r="S226" s="88">
        <f t="shared" si="158"/>
        <v>9.831444418999098</v>
      </c>
      <c r="T226" s="88">
        <f t="shared" si="158"/>
        <v>-0.3787007916125329</v>
      </c>
      <c r="U226" s="88">
        <f t="shared" si="158"/>
        <v>-0.8981153725766937</v>
      </c>
      <c r="V226" s="88">
        <f t="shared" si="158"/>
        <v>6.877116700265805</v>
      </c>
      <c r="W226" s="88">
        <f t="shared" si="158"/>
        <v>19.972825279354154</v>
      </c>
      <c r="X226" s="88">
        <f t="shared" si="158"/>
        <v>34.5774108691867</v>
      </c>
      <c r="Y226" s="88">
        <f t="shared" si="158"/>
        <v>46.445450271360684</v>
      </c>
      <c r="Z226" s="88">
        <f t="shared" si="158"/>
        <v>52.04047606201207</v>
      </c>
    </row>
    <row r="227" spans="2:26" ht="16.5" thickBot="1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6.5" thickBot="1">
      <c r="A228" s="165" t="s">
        <v>185</v>
      </c>
      <c r="B228" s="166"/>
      <c r="C228" s="167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6.5" thickBot="1">
      <c r="A229" s="153" t="s">
        <v>191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>
      <c r="A230" s="151" t="s">
        <v>186</v>
      </c>
      <c r="B230" s="32">
        <f aca="true" t="shared" si="159" ref="B230:Z230">B31-B34/B42</f>
        <v>-226.79310405507746</v>
      </c>
      <c r="C230" s="25">
        <f t="shared" si="159"/>
        <v>-12.870644700363652</v>
      </c>
      <c r="D230" s="25">
        <f t="shared" si="159"/>
        <v>-5.695938903378071</v>
      </c>
      <c r="E230" s="25">
        <f t="shared" si="159"/>
        <v>-3.058640255200147</v>
      </c>
      <c r="F230" s="25">
        <f t="shared" si="159"/>
        <v>-1.6269695104532973</v>
      </c>
      <c r="G230" s="25">
        <f t="shared" si="159"/>
        <v>-0.6815737258073032</v>
      </c>
      <c r="H230" s="25">
        <f t="shared" si="159"/>
        <v>0.04484991597123476</v>
      </c>
      <c r="I230" s="25">
        <f t="shared" si="159"/>
        <v>0.702306284678668</v>
      </c>
      <c r="J230" s="25">
        <f t="shared" si="159"/>
        <v>1.430542994448069</v>
      </c>
      <c r="K230" s="25">
        <f t="shared" si="159"/>
        <v>2.45810039617435</v>
      </c>
      <c r="L230" s="25">
        <f t="shared" si="159"/>
        <v>4.399424208047721</v>
      </c>
      <c r="M230" s="25">
        <f t="shared" si="159"/>
        <v>10.364928544573178</v>
      </c>
      <c r="N230" s="25">
        <f t="shared" si="159"/>
        <v>-161.11390180673985</v>
      </c>
      <c r="O230" s="25">
        <f t="shared" si="159"/>
        <v>-10.850359683295906</v>
      </c>
      <c r="P230" s="25">
        <f t="shared" si="159"/>
        <v>-5.750996616845025</v>
      </c>
      <c r="Q230" s="25">
        <f t="shared" si="159"/>
        <v>-3.678748606548448</v>
      </c>
      <c r="R230" s="25">
        <f t="shared" si="159"/>
        <v>-2.2925474298108193</v>
      </c>
      <c r="S230" s="25">
        <f t="shared" si="159"/>
        <v>-1.0978030931294482</v>
      </c>
      <c r="T230" s="25">
        <f t="shared" si="159"/>
        <v>0.0800951911147053</v>
      </c>
      <c r="U230" s="25">
        <f t="shared" si="159"/>
        <v>1.342259792190983</v>
      </c>
      <c r="V230" s="25">
        <f t="shared" si="159"/>
        <v>2.8113075756430366</v>
      </c>
      <c r="W230" s="25">
        <f t="shared" si="159"/>
        <v>4.752582079360642</v>
      </c>
      <c r="X230" s="25">
        <f t="shared" si="159"/>
        <v>7.987126703188944</v>
      </c>
      <c r="Y230" s="25">
        <f t="shared" si="159"/>
        <v>16.8874421049826</v>
      </c>
      <c r="Z230" s="26">
        <f t="shared" si="159"/>
        <v>-226.79310405508323</v>
      </c>
    </row>
    <row r="231" spans="1:26" ht="15.75">
      <c r="A231" s="150" t="s">
        <v>187</v>
      </c>
      <c r="B231" s="33">
        <f aca="true" t="shared" si="160" ref="B231:Z231">B32+B33/B42</f>
        <v>-3.958688356553384</v>
      </c>
      <c r="C231" s="27">
        <f t="shared" si="160"/>
        <v>-3.6905979795703328</v>
      </c>
      <c r="D231" s="27">
        <f t="shared" si="160"/>
        <v>-3.42246537542691</v>
      </c>
      <c r="E231" s="27">
        <f t="shared" si="160"/>
        <v>-3.1673147032398745</v>
      </c>
      <c r="F231" s="27">
        <f t="shared" si="160"/>
        <v>-2.9351306932283174</v>
      </c>
      <c r="G231" s="27">
        <f t="shared" si="160"/>
        <v>-2.7336429042669197</v>
      </c>
      <c r="H231" s="27">
        <f t="shared" si="160"/>
        <v>-2.569449965134833</v>
      </c>
      <c r="I231" s="27">
        <f t="shared" si="160"/>
        <v>-2.4492330811886327</v>
      </c>
      <c r="J231" s="27">
        <f t="shared" si="160"/>
        <v>-2.3808233542801904</v>
      </c>
      <c r="K231" s="27">
        <f t="shared" si="160"/>
        <v>-2.3737599599343895</v>
      </c>
      <c r="L231" s="27">
        <f t="shared" si="160"/>
        <v>-2.4386406597012806</v>
      </c>
      <c r="M231" s="27">
        <f t="shared" si="160"/>
        <v>-2.5842669336307043</v>
      </c>
      <c r="N231" s="27">
        <f t="shared" si="160"/>
        <v>-2.812253616875168</v>
      </c>
      <c r="O231" s="27">
        <f t="shared" si="160"/>
        <v>-3.111290573008502</v>
      </c>
      <c r="P231" s="27">
        <f t="shared" si="160"/>
        <v>-3.455547387222908</v>
      </c>
      <c r="Q231" s="27">
        <f t="shared" si="160"/>
        <v>-3.8094556988957367</v>
      </c>
      <c r="R231" s="27">
        <f t="shared" si="160"/>
        <v>-4.135865044603484</v>
      </c>
      <c r="S231" s="27">
        <f t="shared" si="160"/>
        <v>-4.403047714700269</v>
      </c>
      <c r="T231" s="27">
        <f t="shared" si="160"/>
        <v>-4.588650425769859</v>
      </c>
      <c r="U231" s="27">
        <f t="shared" si="160"/>
        <v>-4.681016186673723</v>
      </c>
      <c r="V231" s="27">
        <f t="shared" si="160"/>
        <v>-4.678801516719282</v>
      </c>
      <c r="W231" s="27">
        <f t="shared" si="160"/>
        <v>-4.589515165387836</v>
      </c>
      <c r="X231" s="27">
        <f t="shared" si="160"/>
        <v>-4.427336626677741</v>
      </c>
      <c r="Y231" s="27">
        <f t="shared" si="160"/>
        <v>-4.21051221316515</v>
      </c>
      <c r="Z231" s="28">
        <f t="shared" si="160"/>
        <v>-3.9586883565534285</v>
      </c>
    </row>
    <row r="232" spans="1:26" ht="18.75">
      <c r="A232" s="150" t="s">
        <v>193</v>
      </c>
      <c r="B232" s="33">
        <f aca="true" t="shared" si="161" ref="B232:Z232">(B230-B91)^2+(B231-B92)^2</f>
        <v>52121.6590128045</v>
      </c>
      <c r="C232" s="27">
        <f t="shared" si="161"/>
        <v>209.89186554809402</v>
      </c>
      <c r="D232" s="27">
        <f t="shared" si="161"/>
        <v>54.63480497394888</v>
      </c>
      <c r="E232" s="27">
        <f t="shared" si="161"/>
        <v>23.18908751754673</v>
      </c>
      <c r="F232" s="27">
        <f t="shared" si="161"/>
        <v>11.861858519859142</v>
      </c>
      <c r="G232" s="27">
        <f t="shared" si="161"/>
        <v>6.6789215942630245</v>
      </c>
      <c r="H232" s="27">
        <f t="shared" si="161"/>
        <v>4.080689609107797</v>
      </c>
      <c r="I232" s="27">
        <f t="shared" si="161"/>
        <v>2.933428683790308</v>
      </c>
      <c r="J232" s="27">
        <f t="shared" si="161"/>
        <v>3.094575230184796</v>
      </c>
      <c r="K232" s="27">
        <f t="shared" si="161"/>
        <v>5.65808661284291</v>
      </c>
      <c r="L232" s="27">
        <f t="shared" si="161"/>
        <v>16.857168644406748</v>
      </c>
      <c r="M232" s="27">
        <f t="shared" si="161"/>
        <v>99.02084106236495</v>
      </c>
      <c r="N232" s="27">
        <f t="shared" si="161"/>
        <v>26121.030600235852</v>
      </c>
      <c r="O232" s="27">
        <f t="shared" si="161"/>
        <v>131.28096608090263</v>
      </c>
      <c r="P232" s="27">
        <f t="shared" si="161"/>
        <v>42.134554472840705</v>
      </c>
      <c r="Q232" s="27">
        <f t="shared" si="161"/>
        <v>21.148398270007807</v>
      </c>
      <c r="R232" s="27">
        <f t="shared" si="161"/>
        <v>11.962300288217861</v>
      </c>
      <c r="S232" s="27">
        <f t="shared" si="161"/>
        <v>6.853851421059091</v>
      </c>
      <c r="T232" s="27">
        <f t="shared" si="161"/>
        <v>4.082231816455853</v>
      </c>
      <c r="U232" s="27">
        <f t="shared" si="161"/>
        <v>3.5009395370456153</v>
      </c>
      <c r="V232" s="27">
        <f t="shared" si="161"/>
        <v>6.065480841662724</v>
      </c>
      <c r="W232" s="27">
        <f t="shared" si="161"/>
        <v>15.304330418955606</v>
      </c>
      <c r="X232" s="27">
        <f t="shared" si="161"/>
        <v>46.78598056266644</v>
      </c>
      <c r="Y232" s="27">
        <f t="shared" si="161"/>
        <v>241.168095189528</v>
      </c>
      <c r="Z232" s="28">
        <f t="shared" si="161"/>
        <v>52121.65901280713</v>
      </c>
    </row>
    <row r="233" spans="1:26" ht="18.75">
      <c r="A233" s="150" t="s">
        <v>192</v>
      </c>
      <c r="B233" s="33">
        <f>B232+$L$3/$J$3</f>
        <v>52123.2590128045</v>
      </c>
      <c r="C233" s="27">
        <f aca="true" t="shared" si="162" ref="C233:Z233">C232+$L$3/$J$3</f>
        <v>211.491865548094</v>
      </c>
      <c r="D233" s="27">
        <f t="shared" si="162"/>
        <v>56.23480497394888</v>
      </c>
      <c r="E233" s="27">
        <f t="shared" si="162"/>
        <v>24.789087517546733</v>
      </c>
      <c r="F233" s="27">
        <f t="shared" si="162"/>
        <v>13.461858519859142</v>
      </c>
      <c r="G233" s="27">
        <f t="shared" si="162"/>
        <v>8.278921594263025</v>
      </c>
      <c r="H233" s="27">
        <f t="shared" si="162"/>
        <v>5.680689609107796</v>
      </c>
      <c r="I233" s="27">
        <f t="shared" si="162"/>
        <v>4.533428683790309</v>
      </c>
      <c r="J233" s="27">
        <f t="shared" si="162"/>
        <v>4.694575230184796</v>
      </c>
      <c r="K233" s="27">
        <f t="shared" si="162"/>
        <v>7.258086612842909</v>
      </c>
      <c r="L233" s="27">
        <f t="shared" si="162"/>
        <v>18.45716864440675</v>
      </c>
      <c r="M233" s="27">
        <f t="shared" si="162"/>
        <v>100.62084106236495</v>
      </c>
      <c r="N233" s="27">
        <f t="shared" si="162"/>
        <v>26122.63060023585</v>
      </c>
      <c r="O233" s="27">
        <f t="shared" si="162"/>
        <v>132.88096608090262</v>
      </c>
      <c r="P233" s="27">
        <f t="shared" si="162"/>
        <v>43.734554472840706</v>
      </c>
      <c r="Q233" s="27">
        <f t="shared" si="162"/>
        <v>22.748398270007808</v>
      </c>
      <c r="R233" s="27">
        <f t="shared" si="162"/>
        <v>13.56230028821786</v>
      </c>
      <c r="S233" s="27">
        <f t="shared" si="162"/>
        <v>8.453851421059092</v>
      </c>
      <c r="T233" s="27">
        <f t="shared" si="162"/>
        <v>5.682231816455854</v>
      </c>
      <c r="U233" s="27">
        <f t="shared" si="162"/>
        <v>5.100939537045615</v>
      </c>
      <c r="V233" s="27">
        <f t="shared" si="162"/>
        <v>7.665480841662724</v>
      </c>
      <c r="W233" s="27">
        <f t="shared" si="162"/>
        <v>16.904330418955606</v>
      </c>
      <c r="X233" s="27">
        <f t="shared" si="162"/>
        <v>48.38598056266644</v>
      </c>
      <c r="Y233" s="27">
        <f t="shared" si="162"/>
        <v>242.768095189528</v>
      </c>
      <c r="Z233" s="28">
        <f t="shared" si="162"/>
        <v>52123.25901280713</v>
      </c>
    </row>
    <row r="234" spans="1:26" ht="15.75">
      <c r="A234" s="150" t="s">
        <v>188</v>
      </c>
      <c r="B234" s="33">
        <f aca="true" t="shared" si="163" ref="B234:Z234">0.5*B233*$J$3*B42^2</f>
        <v>1.255245607598781</v>
      </c>
      <c r="C234" s="27">
        <f t="shared" si="163"/>
        <v>1.276799995677578</v>
      </c>
      <c r="D234" s="27">
        <f t="shared" si="163"/>
        <v>1.5864624669019907</v>
      </c>
      <c r="E234" s="27">
        <f t="shared" si="163"/>
        <v>1.7549232685357987</v>
      </c>
      <c r="F234" s="27">
        <f t="shared" si="163"/>
        <v>1.739297422983256</v>
      </c>
      <c r="G234" s="27">
        <f t="shared" si="163"/>
        <v>1.580624142018763</v>
      </c>
      <c r="H234" s="27">
        <f t="shared" si="163"/>
        <v>1.3579665705218285</v>
      </c>
      <c r="I234" s="27">
        <f t="shared" si="163"/>
        <v>1.165821763108999</v>
      </c>
      <c r="J234" s="27">
        <f t="shared" si="163"/>
        <v>1.102270784152384</v>
      </c>
      <c r="K234" s="27">
        <f t="shared" si="163"/>
        <v>1.2595039642919534</v>
      </c>
      <c r="L234" s="27">
        <f t="shared" si="163"/>
        <v>1.6979139026726244</v>
      </c>
      <c r="M234" s="27">
        <f t="shared" si="163"/>
        <v>2.383196366552124</v>
      </c>
      <c r="N234" s="27">
        <f t="shared" si="163"/>
        <v>3.1092177851010674</v>
      </c>
      <c r="O234" s="27">
        <f t="shared" si="163"/>
        <v>3.522109869480473</v>
      </c>
      <c r="P234" s="27">
        <f t="shared" si="163"/>
        <v>3.335998829945298</v>
      </c>
      <c r="Q234" s="27">
        <f t="shared" si="163"/>
        <v>2.5829167255144787</v>
      </c>
      <c r="R234" s="27">
        <f t="shared" si="163"/>
        <v>1.614287738635226</v>
      </c>
      <c r="S234" s="27">
        <f t="shared" si="163"/>
        <v>0.8225908999001966</v>
      </c>
      <c r="T234" s="27">
        <f t="shared" si="163"/>
        <v>0.37325406384927745</v>
      </c>
      <c r="U234" s="27">
        <f t="shared" si="163"/>
        <v>0.1987352390411868</v>
      </c>
      <c r="V234" s="27">
        <f t="shared" si="163"/>
        <v>0.17152473191179457</v>
      </c>
      <c r="W234" s="27">
        <f t="shared" si="163"/>
        <v>0.23299323174907932</v>
      </c>
      <c r="X234" s="27">
        <f t="shared" si="163"/>
        <v>0.4042041595706658</v>
      </c>
      <c r="Y234" s="27">
        <f t="shared" si="163"/>
        <v>0.7155472179320091</v>
      </c>
      <c r="Z234" s="28">
        <f t="shared" si="163"/>
        <v>1.1335078414545516</v>
      </c>
    </row>
    <row r="235" spans="1:26" ht="15.75">
      <c r="A235" s="150" t="s">
        <v>66</v>
      </c>
      <c r="B235" s="33">
        <f aca="true" t="shared" si="164" ref="B235:Z235">B236*B42+B237*B240</f>
        <v>0.28672035325905654</v>
      </c>
      <c r="C235" s="27">
        <f t="shared" si="164"/>
        <v>1.3341051852025458</v>
      </c>
      <c r="D235" s="27">
        <f t="shared" si="164"/>
        <v>1.1329810391918222</v>
      </c>
      <c r="E235" s="27">
        <f t="shared" si="164"/>
        <v>0.5880012261255247</v>
      </c>
      <c r="F235" s="27">
        <f t="shared" si="164"/>
        <v>-0.09411824114236289</v>
      </c>
      <c r="G235" s="27">
        <f t="shared" si="164"/>
        <v>-0.8247068326364229</v>
      </c>
      <c r="H235" s="27">
        <f t="shared" si="164"/>
        <v>-1.4883608492904898</v>
      </c>
      <c r="I235" s="27">
        <f t="shared" si="164"/>
        <v>-1.8153716018067234</v>
      </c>
      <c r="J235" s="27">
        <f t="shared" si="164"/>
        <v>-1.4186045126688673</v>
      </c>
      <c r="K235" s="27">
        <f t="shared" si="164"/>
        <v>-0.045210671796126256</v>
      </c>
      <c r="L235" s="27">
        <f t="shared" si="164"/>
        <v>2.033524381966826</v>
      </c>
      <c r="M235" s="27">
        <f t="shared" si="164"/>
        <v>3.741720538098683</v>
      </c>
      <c r="N235" s="27">
        <f t="shared" si="164"/>
        <v>3.5855502559348906</v>
      </c>
      <c r="O235" s="27">
        <f t="shared" si="164"/>
        <v>1.0234009299789264</v>
      </c>
      <c r="P235" s="27">
        <f t="shared" si="164"/>
        <v>-2.4709520092831703</v>
      </c>
      <c r="Q235" s="27">
        <f t="shared" si="164"/>
        <v>-4.491268701694708</v>
      </c>
      <c r="R235" s="27">
        <f t="shared" si="164"/>
        <v>-4.065032651861273</v>
      </c>
      <c r="S235" s="27">
        <f t="shared" si="164"/>
        <v>-2.3350555043924075</v>
      </c>
      <c r="T235" s="27">
        <f t="shared" si="164"/>
        <v>-0.8592460098456374</v>
      </c>
      <c r="U235" s="27">
        <f t="shared" si="164"/>
        <v>-0.136005273561141</v>
      </c>
      <c r="V235" s="27">
        <f t="shared" si="164"/>
        <v>0.1466288685035148</v>
      </c>
      <c r="W235" s="27">
        <f t="shared" si="164"/>
        <v>0.3677969133791189</v>
      </c>
      <c r="X235" s="27">
        <f t="shared" si="164"/>
        <v>0.7283216846931463</v>
      </c>
      <c r="Y235" s="27">
        <f t="shared" si="164"/>
        <v>1.2116158588701964</v>
      </c>
      <c r="Z235" s="28">
        <f t="shared" si="164"/>
        <v>1.5838599796426394</v>
      </c>
    </row>
    <row r="236" spans="1:26" ht="15.75">
      <c r="A236" s="150" t="s">
        <v>189</v>
      </c>
      <c r="B236" s="33">
        <f aca="true" t="shared" si="165" ref="B236:Z236">B43*($L$3+$J$3*B232)</f>
        <v>32768.15877754713</v>
      </c>
      <c r="C236" s="27">
        <f t="shared" si="165"/>
        <v>149.65784800674814</v>
      </c>
      <c r="D236" s="27">
        <f t="shared" si="165"/>
        <v>52.36952556663026</v>
      </c>
      <c r="E236" s="27">
        <f t="shared" si="165"/>
        <v>25.946858719919394</v>
      </c>
      <c r="F236" s="27">
        <f t="shared" si="165"/>
        <v>13.56250976505203</v>
      </c>
      <c r="G236" s="27">
        <f t="shared" si="165"/>
        <v>6.648950244701542</v>
      </c>
      <c r="H236" s="27">
        <f t="shared" si="165"/>
        <v>2.5074952659507894</v>
      </c>
      <c r="I236" s="27">
        <f t="shared" si="165"/>
        <v>-0.2675606907259568</v>
      </c>
      <c r="J236" s="27">
        <f t="shared" si="165"/>
        <v>-3.1243527145113177</v>
      </c>
      <c r="K236" s="27">
        <f t="shared" si="165"/>
        <v>-9.546591588396597</v>
      </c>
      <c r="L236" s="27">
        <f t="shared" si="165"/>
        <v>-34.93086210348422</v>
      </c>
      <c r="M236" s="27">
        <f t="shared" si="165"/>
        <v>-224.32967399181234</v>
      </c>
      <c r="N236" s="27">
        <f t="shared" si="165"/>
        <v>-56886.095841350034</v>
      </c>
      <c r="O236" s="27">
        <f t="shared" si="165"/>
        <v>-229.16440266827783</v>
      </c>
      <c r="P236" s="27">
        <f t="shared" si="165"/>
        <v>-44.98055809671768</v>
      </c>
      <c r="Q236" s="27">
        <f t="shared" si="165"/>
        <v>-7.4929597471180465</v>
      </c>
      <c r="R236" s="27">
        <f t="shared" si="165"/>
        <v>2.32312183696543</v>
      </c>
      <c r="S236" s="27">
        <f t="shared" si="165"/>
        <v>3.3228160051689684</v>
      </c>
      <c r="T236" s="27">
        <f t="shared" si="165"/>
        <v>2.1961835207451075</v>
      </c>
      <c r="U236" s="27">
        <f t="shared" si="165"/>
        <v>1.3704968836520042</v>
      </c>
      <c r="V236" s="27">
        <f t="shared" si="165"/>
        <v>1.1282617581081062</v>
      </c>
      <c r="W236" s="27">
        <f t="shared" si="165"/>
        <v>1.5698866698510354</v>
      </c>
      <c r="X236" s="27">
        <f t="shared" si="165"/>
        <v>7.112906343567602</v>
      </c>
      <c r="Y236" s="27">
        <f t="shared" si="165"/>
        <v>77.22811404912021</v>
      </c>
      <c r="Z236" s="28">
        <f t="shared" si="165"/>
        <v>29911.16298507125</v>
      </c>
    </row>
    <row r="237" spans="1:26" ht="15.75">
      <c r="A237" s="150" t="s">
        <v>190</v>
      </c>
      <c r="B237" s="33">
        <f aca="true" t="shared" si="166" ref="B237:Z237">SQRT(B232)*$J$3*B42^2</f>
        <v>0.010996038687478567</v>
      </c>
      <c r="C237" s="27">
        <f t="shared" si="166"/>
        <v>0.17492706278462067</v>
      </c>
      <c r="D237" s="27">
        <f t="shared" si="166"/>
        <v>0.41705113050766657</v>
      </c>
      <c r="E237" s="27">
        <f t="shared" si="166"/>
        <v>0.6818194987254746</v>
      </c>
      <c r="F237" s="27">
        <f t="shared" si="166"/>
        <v>0.8899696512966259</v>
      </c>
      <c r="G237" s="27">
        <f t="shared" si="166"/>
        <v>0.9868201517541786</v>
      </c>
      <c r="H237" s="27">
        <f t="shared" si="166"/>
        <v>0.9657946502609007</v>
      </c>
      <c r="I237" s="27">
        <f t="shared" si="166"/>
        <v>0.880892947422494</v>
      </c>
      <c r="J237" s="27">
        <f t="shared" si="166"/>
        <v>0.8260807684679896</v>
      </c>
      <c r="K237" s="27">
        <f t="shared" si="166"/>
        <v>0.825547722499267</v>
      </c>
      <c r="L237" s="27">
        <f t="shared" si="166"/>
        <v>0.7553928946455378</v>
      </c>
      <c r="M237" s="27">
        <f t="shared" si="166"/>
        <v>0.4713735245153534</v>
      </c>
      <c r="N237" s="27">
        <f t="shared" si="166"/>
        <v>0.03847329511010502</v>
      </c>
      <c r="O237" s="27">
        <f t="shared" si="166"/>
        <v>0.6073947028597606</v>
      </c>
      <c r="P237" s="27">
        <f t="shared" si="166"/>
        <v>0.9902626105520188</v>
      </c>
      <c r="Q237" s="27">
        <f t="shared" si="166"/>
        <v>1.0443073084092604</v>
      </c>
      <c r="R237" s="27">
        <f t="shared" si="166"/>
        <v>0.8233508493456294</v>
      </c>
      <c r="S237" s="27">
        <f t="shared" si="166"/>
        <v>0.5094793996923686</v>
      </c>
      <c r="T237" s="27">
        <f t="shared" si="166"/>
        <v>0.26543881178070905</v>
      </c>
      <c r="U237" s="27">
        <f t="shared" si="166"/>
        <v>0.14579646918769407</v>
      </c>
      <c r="V237" s="27">
        <f t="shared" si="166"/>
        <v>0.110217348752051</v>
      </c>
      <c r="W237" s="27">
        <f t="shared" si="166"/>
        <v>0.10784064946555523</v>
      </c>
      <c r="X237" s="27">
        <f t="shared" si="166"/>
        <v>0.11427970101290859</v>
      </c>
      <c r="Y237" s="27">
        <f t="shared" si="166"/>
        <v>0.09154541736676453</v>
      </c>
      <c r="Z237" s="28">
        <f t="shared" si="166"/>
        <v>0.009929607402520546</v>
      </c>
    </row>
    <row r="238" spans="1:26" ht="15.75">
      <c r="A238" s="150" t="s">
        <v>22</v>
      </c>
      <c r="B238" s="33">
        <f aca="true" t="shared" si="167" ref="B238:Z238">B33-((B36*B42-B34*B43)/B42^2)</f>
        <v>13054.459654029477</v>
      </c>
      <c r="C238" s="27">
        <f t="shared" si="167"/>
        <v>52.17993803056263</v>
      </c>
      <c r="D238" s="27">
        <f t="shared" si="167"/>
        <v>16.742508954359103</v>
      </c>
      <c r="E238" s="27">
        <f t="shared" si="167"/>
        <v>9.033173439805323</v>
      </c>
      <c r="F238" s="27">
        <f t="shared" si="167"/>
        <v>6.019717030357434</v>
      </c>
      <c r="G238" s="27">
        <f t="shared" si="167"/>
        <v>4.593068604663774</v>
      </c>
      <c r="H238" s="27">
        <f t="shared" si="167"/>
        <v>3.9975327662957882</v>
      </c>
      <c r="I238" s="27">
        <f t="shared" si="167"/>
        <v>4.096725021552804</v>
      </c>
      <c r="J238" s="27">
        <f t="shared" si="167"/>
        <v>5.156846758688232</v>
      </c>
      <c r="K238" s="27">
        <f t="shared" si="167"/>
        <v>8.27276286093176</v>
      </c>
      <c r="L238" s="27">
        <f t="shared" si="167"/>
        <v>18.146958151832145</v>
      </c>
      <c r="M238" s="27">
        <f t="shared" si="167"/>
        <v>75.62401411932183</v>
      </c>
      <c r="N238" s="27">
        <f t="shared" si="167"/>
        <v>14336.66139715648</v>
      </c>
      <c r="O238" s="27">
        <f t="shared" si="167"/>
        <v>54.821366140226885</v>
      </c>
      <c r="P238" s="27">
        <f t="shared" si="167"/>
        <v>15.185832896292792</v>
      </c>
      <c r="Q238" s="27">
        <f t="shared" si="167"/>
        <v>7.87869879423926</v>
      </c>
      <c r="R238" s="27">
        <f t="shared" si="167"/>
        <v>5.486772881465868</v>
      </c>
      <c r="S238" s="27">
        <f t="shared" si="167"/>
        <v>4.40079653093471</v>
      </c>
      <c r="T238" s="27">
        <f t="shared" si="167"/>
        <v>3.784454564395432</v>
      </c>
      <c r="U238" s="27">
        <f t="shared" si="167"/>
        <v>3.494179736142053</v>
      </c>
      <c r="V238" s="27">
        <f t="shared" si="167"/>
        <v>3.7333954086831067</v>
      </c>
      <c r="W238" s="27">
        <f t="shared" si="167"/>
        <v>5.300356581547658</v>
      </c>
      <c r="X238" s="27">
        <f t="shared" si="167"/>
        <v>11.63946281583307</v>
      </c>
      <c r="Y238" s="27">
        <f t="shared" si="167"/>
        <v>54.408373988231574</v>
      </c>
      <c r="Z238" s="28">
        <f t="shared" si="167"/>
        <v>12405.28681018661</v>
      </c>
    </row>
    <row r="239" spans="1:26" ht="15.75">
      <c r="A239" s="150" t="s">
        <v>23</v>
      </c>
      <c r="B239" s="33">
        <f aca="true" t="shared" si="168" ref="B239:Z239">B34+((B35*B42-B33*B43)/B42^2)</f>
        <v>1.0042376465096219</v>
      </c>
      <c r="C239" s="27">
        <f t="shared" si="168"/>
        <v>1.0334498177481493</v>
      </c>
      <c r="D239" s="27">
        <f t="shared" si="168"/>
        <v>0.03833778698176715</v>
      </c>
      <c r="E239" s="27">
        <f t="shared" si="168"/>
        <v>-0.17561721907208083</v>
      </c>
      <c r="F239" s="27">
        <f t="shared" si="168"/>
        <v>-0.018106707256016485</v>
      </c>
      <c r="G239" s="27">
        <f t="shared" si="168"/>
        <v>0.37032848489125086</v>
      </c>
      <c r="H239" s="27">
        <f t="shared" si="168"/>
        <v>0.9095819782398414</v>
      </c>
      <c r="I239" s="27">
        <f t="shared" si="168"/>
        <v>1.5474095080028212</v>
      </c>
      <c r="J239" s="27">
        <f t="shared" si="168"/>
        <v>2.27646789552887</v>
      </c>
      <c r="K239" s="27">
        <f t="shared" si="168"/>
        <v>3.206479965803555</v>
      </c>
      <c r="L239" s="27">
        <f t="shared" si="168"/>
        <v>4.834962983710854</v>
      </c>
      <c r="M239" s="27">
        <f t="shared" si="168"/>
        <v>9.932538762167734</v>
      </c>
      <c r="N239" s="27">
        <f t="shared" si="168"/>
        <v>-142.36305365688898</v>
      </c>
      <c r="O239" s="27">
        <f t="shared" si="168"/>
        <v>-9.249795246509398</v>
      </c>
      <c r="P239" s="27">
        <f t="shared" si="168"/>
        <v>-4.747006382196498</v>
      </c>
      <c r="Q239" s="27">
        <f t="shared" si="168"/>
        <v>-2.8500238869673606</v>
      </c>
      <c r="R239" s="27">
        <f t="shared" si="168"/>
        <v>-1.6378966364585699</v>
      </c>
      <c r="S239" s="27">
        <f t="shared" si="168"/>
        <v>-0.8533744162906307</v>
      </c>
      <c r="T239" s="27">
        <f t="shared" si="168"/>
        <v>-0.4492489553623099</v>
      </c>
      <c r="U239" s="27">
        <f t="shared" si="168"/>
        <v>-0.34698961661846095</v>
      </c>
      <c r="V239" s="27">
        <f t="shared" si="168"/>
        <v>-0.44412819958741956</v>
      </c>
      <c r="W239" s="27">
        <f t="shared" si="168"/>
        <v>-0.6874957363703269</v>
      </c>
      <c r="X239" s="27">
        <f t="shared" si="168"/>
        <v>-1.0955197145227662</v>
      </c>
      <c r="Y239" s="27">
        <f t="shared" si="168"/>
        <v>-1.8563017319286086</v>
      </c>
      <c r="Z239" s="28">
        <f t="shared" si="168"/>
        <v>11.71869409934252</v>
      </c>
    </row>
    <row r="240" spans="1:26" ht="16.5" thickBot="1">
      <c r="A240" s="152" t="s">
        <v>194</v>
      </c>
      <c r="B240" s="34">
        <f aca="true" t="shared" si="169" ref="B240:Z240">((B230-B91)*(B238-B93)+(B231-B92)*(B239-B94))/SQRT(B232)</f>
        <v>-13053.973424980624</v>
      </c>
      <c r="C240" s="29">
        <f t="shared" si="169"/>
        <v>-51.83023929898698</v>
      </c>
      <c r="D240" s="29">
        <f t="shared" si="169"/>
        <v>-16.147910211299575</v>
      </c>
      <c r="E240" s="29">
        <f t="shared" si="169"/>
        <v>-8.194074173579779</v>
      </c>
      <c r="F240" s="29">
        <f t="shared" si="169"/>
        <v>-5.005169986896873</v>
      </c>
      <c r="G240" s="29">
        <f t="shared" si="169"/>
        <v>-3.468943592741614</v>
      </c>
      <c r="H240" s="29">
        <f t="shared" si="169"/>
        <v>-2.6764618949665833</v>
      </c>
      <c r="I240" s="29">
        <f t="shared" si="169"/>
        <v>-1.9230635984229174</v>
      </c>
      <c r="J240" s="29">
        <f t="shared" si="169"/>
        <v>-0.07808383046745383</v>
      </c>
      <c r="K240" s="29">
        <f t="shared" si="169"/>
        <v>4.253871977786978</v>
      </c>
      <c r="L240" s="29">
        <f t="shared" si="169"/>
        <v>15.236605313235938</v>
      </c>
      <c r="M240" s="29">
        <f t="shared" si="169"/>
        <v>73.44713688717715</v>
      </c>
      <c r="N240" s="29">
        <f t="shared" si="169"/>
        <v>-14334.89460379631</v>
      </c>
      <c r="O240" s="29">
        <f t="shared" si="169"/>
        <v>-53.2554208197265</v>
      </c>
      <c r="P240" s="29">
        <f t="shared" si="169"/>
        <v>-13.715951596159556</v>
      </c>
      <c r="Q240" s="29">
        <f t="shared" si="169"/>
        <v>-6.463184451156707</v>
      </c>
      <c r="R240" s="29">
        <f t="shared" si="169"/>
        <v>-4.066507058273127</v>
      </c>
      <c r="S240" s="29">
        <f t="shared" si="169"/>
        <v>-2.763562643417892</v>
      </c>
      <c r="T240" s="29">
        <f t="shared" si="169"/>
        <v>-1.340406551832964</v>
      </c>
      <c r="U240" s="29">
        <f t="shared" si="169"/>
        <v>0.7266991535060214</v>
      </c>
      <c r="V240" s="29">
        <f t="shared" si="169"/>
        <v>2.6999762810773253</v>
      </c>
      <c r="W240" s="29">
        <f t="shared" si="169"/>
        <v>4.939192976573313</v>
      </c>
      <c r="X240" s="29">
        <f t="shared" si="169"/>
        <v>11.461343400663555</v>
      </c>
      <c r="Y240" s="29">
        <f t="shared" si="169"/>
        <v>54.19958664334187</v>
      </c>
      <c r="Z240" s="30">
        <f t="shared" si="169"/>
        <v>-12404.918497625427</v>
      </c>
    </row>
    <row r="251" spans="2:26" ht="15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2:26" ht="15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2:26" ht="15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2:26" ht="15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2:26" ht="15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2:26" ht="15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2:26" ht="15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2:26" ht="15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2:26" ht="15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2:26" ht="15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2:26" ht="15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2:26" ht="15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2:26" ht="15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2:26" ht="15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2:26" ht="15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2:26" ht="15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2:26" ht="15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2:26" ht="15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2:26" ht="15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2:26" ht="15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2:26" ht="15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2:26" ht="15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2:26" ht="15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2:26" ht="15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2:26" ht="15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2:26" ht="15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2:26" ht="15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2:26" ht="15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2:26" ht="15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2:26" ht="15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2:26" ht="15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2:26" ht="15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2:26" ht="15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2:26" ht="15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2:26" ht="15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2:26" ht="15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2:26" ht="15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2:26" ht="15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2:26" ht="15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2:26" ht="15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2:26" ht="15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2:26" ht="15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</sheetData>
  <sheetProtection/>
  <mergeCells count="16">
    <mergeCell ref="A1:B1"/>
    <mergeCell ref="A10:B10"/>
    <mergeCell ref="A20:B20"/>
    <mergeCell ref="A30:B30"/>
    <mergeCell ref="A46:B46"/>
    <mergeCell ref="A64:C64"/>
    <mergeCell ref="A2:B2"/>
    <mergeCell ref="A191:C191"/>
    <mergeCell ref="A200:E200"/>
    <mergeCell ref="A228:C228"/>
    <mergeCell ref="A74:C74"/>
    <mergeCell ref="A150:C150"/>
    <mergeCell ref="A162:B162"/>
    <mergeCell ref="A170:C170"/>
    <mergeCell ref="A177:C177"/>
    <mergeCell ref="A184:C1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2017-10-30T17:23:33Z</cp:lastPrinted>
  <dcterms:created xsi:type="dcterms:W3CDTF">2017-09-17T17:58:35Z</dcterms:created>
  <dcterms:modified xsi:type="dcterms:W3CDTF">2017-12-16T10:14:30Z</dcterms:modified>
  <cp:category/>
  <cp:version/>
  <cp:contentType/>
  <cp:contentStatus/>
</cp:coreProperties>
</file>